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8310" tabRatio="588" activeTab="6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'příjmy'!$A$246:$I$305</definedName>
    <definedName name="_xlnm._FilterDatabase" localSheetId="7" hidden="1">'výdaje'!$A$653:$V$653</definedName>
  </definedNames>
  <calcPr fullCalcOnLoad="1"/>
</workbook>
</file>

<file path=xl/sharedStrings.xml><?xml version="1.0" encoding="utf-8"?>
<sst xmlns="http://schemas.openxmlformats.org/spreadsheetml/2006/main" count="3993" uniqueCount="1283">
  <si>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</si>
  <si>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</si>
  <si>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</si>
  <si>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</si>
  <si>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</si>
  <si>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</si>
  <si>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</si>
  <si>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</si>
  <si>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</si>
  <si>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</si>
  <si>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</si>
  <si>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</si>
  <si>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</si>
  <si>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</si>
  <si>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</si>
  <si>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</si>
  <si>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</si>
  <si>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1390   6129</t>
  </si>
  <si>
    <t>2390   6129</t>
  </si>
  <si>
    <t>2390</t>
  </si>
  <si>
    <t>FINANCOVÁNÍ CELKEM</t>
  </si>
  <si>
    <t>Dotace   UZ15319</t>
  </si>
  <si>
    <t>Dotace   UZ90001</t>
  </si>
  <si>
    <t xml:space="preserve">VPP              0393  </t>
  </si>
  <si>
    <t>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</si>
  <si>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</si>
  <si>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</si>
  <si>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</si>
  <si>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</si>
  <si>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</si>
  <si>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</si>
  <si>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</si>
  <si>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</si>
  <si>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</si>
  <si>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</si>
  <si>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</si>
  <si>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</si>
  <si>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</si>
  <si>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</si>
  <si>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</si>
  <si>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</si>
  <si>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</si>
  <si>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</si>
  <si>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</si>
  <si>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</si>
  <si>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</si>
  <si>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</si>
  <si>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</si>
  <si>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</si>
  <si>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</si>
  <si>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</si>
  <si>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</si>
  <si>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</si>
  <si>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</si>
  <si>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</si>
  <si>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</si>
  <si>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</si>
  <si>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</si>
  <si>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</si>
  <si>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</si>
  <si>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</si>
  <si>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</si>
  <si>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</si>
  <si>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</si>
  <si>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</si>
  <si>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</si>
  <si>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</si>
  <si>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</si>
  <si>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</si>
  <si>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</si>
  <si>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</si>
  <si>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</si>
  <si>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</si>
  <si>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</si>
  <si>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</si>
  <si>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</si>
  <si>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</si>
  <si>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</si>
  <si>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</si>
  <si>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</si>
  <si>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</si>
  <si>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</si>
  <si>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</si>
  <si>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</si>
  <si>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</si>
  <si>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</si>
  <si>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</si>
  <si>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</si>
  <si>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</si>
  <si>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</si>
  <si>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</si>
  <si>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</si>
  <si>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</si>
  <si>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</si>
  <si>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</si>
  <si>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</si>
  <si>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</si>
  <si>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kontrola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</si>
  <si>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</si>
  <si>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</si>
  <si>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</si>
  <si>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</si>
  <si>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</si>
  <si>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</si>
  <si>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</si>
  <si>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</si>
  <si>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</si>
  <si>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</si>
  <si>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</si>
  <si>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</si>
  <si>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</si>
  <si>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</si>
  <si>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</si>
  <si>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</si>
  <si>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</si>
  <si>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</si>
  <si>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</si>
  <si>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</si>
  <si>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</si>
  <si>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</si>
  <si>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</si>
  <si>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</si>
  <si>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</si>
  <si>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</si>
  <si>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</si>
  <si>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</si>
  <si>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</si>
  <si>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</si>
  <si>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</si>
  <si>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</si>
  <si>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</si>
  <si>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</si>
  <si>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</si>
  <si>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</si>
  <si>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</si>
  <si>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</si>
  <si>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</si>
  <si>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</si>
  <si>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</si>
  <si>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</si>
  <si>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</si>
  <si>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</si>
  <si>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</si>
  <si>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</si>
  <si>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</si>
  <si>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</si>
  <si>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</si>
  <si>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</si>
  <si>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</si>
  <si>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</si>
  <si>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</si>
  <si>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</si>
  <si>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</si>
  <si>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</si>
  <si>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</si>
  <si>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</si>
  <si>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</si>
  <si>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</si>
  <si>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</si>
  <si>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</si>
  <si>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</si>
  <si>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</si>
  <si>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</si>
  <si>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</si>
  <si>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</si>
  <si>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Zájmová činnost      0391</t>
  </si>
  <si>
    <t>Zařízení pro sport   0392</t>
  </si>
  <si>
    <t>Zájmová činnost  0391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</si>
  <si>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</si>
  <si>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</si>
  <si>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</si>
  <si>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</si>
  <si>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</si>
  <si>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</si>
  <si>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</si>
  <si>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</si>
  <si>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</si>
  <si>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</si>
  <si>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</si>
  <si>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</si>
  <si>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</si>
  <si>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</si>
  <si>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</si>
  <si>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</si>
  <si>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</si>
  <si>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</si>
  <si>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</si>
  <si>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</si>
  <si>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</si>
  <si>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</si>
  <si>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</si>
  <si>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</si>
  <si>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</si>
  <si>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</si>
  <si>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</si>
  <si>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</si>
  <si>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</si>
  <si>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</si>
  <si>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</si>
  <si>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</si>
  <si>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</si>
  <si>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</si>
  <si>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</si>
  <si>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</si>
  <si>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</si>
  <si>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</si>
  <si>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</si>
  <si>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</si>
  <si>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</si>
  <si>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</si>
  <si>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</si>
  <si>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</si>
  <si>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</si>
  <si>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</si>
  <si>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VPP            0393, projekt Mám práci  1393, 3393, 5393</t>
  </si>
  <si>
    <t>3374</t>
  </si>
  <si>
    <t>Veřejná sbírka - varhany  3374</t>
  </si>
  <si>
    <t>Zateplení budovy ŠJ a ŠD Krásná Lípa  1314</t>
  </si>
  <si>
    <t>Veřejná sbírka - varhany 3374</t>
  </si>
  <si>
    <t>Dotace - Kompenzace ztráty na daních z lesu 0359</t>
  </si>
  <si>
    <t xml:space="preserve">3119 ostat. příjmy z prodeje dlouhodobého majetku </t>
  </si>
  <si>
    <t>Dotace UZ 17466,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</si>
  <si>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</si>
  <si>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</si>
  <si>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</si>
  <si>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</si>
  <si>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</si>
  <si>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</si>
  <si>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2305   6129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</si>
  <si>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</si>
  <si>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</si>
  <si>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</si>
  <si>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</si>
  <si>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</si>
  <si>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</si>
  <si>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</si>
  <si>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</si>
  <si>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</si>
  <si>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</si>
  <si>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</si>
  <si>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</si>
  <si>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</si>
  <si>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</si>
  <si>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</si>
  <si>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</si>
  <si>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</si>
  <si>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</si>
  <si>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</si>
  <si>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</si>
  <si>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</si>
  <si>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</si>
  <si>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</si>
  <si>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</si>
  <si>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</si>
  <si>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</si>
  <si>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</si>
  <si>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</si>
  <si>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</si>
  <si>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</si>
  <si>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</si>
  <si>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</si>
  <si>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</si>
  <si>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</si>
  <si>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</si>
  <si>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</si>
  <si>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</si>
  <si>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</si>
  <si>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</si>
  <si>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</si>
  <si>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0351 PO Krásná Lípa</t>
  </si>
  <si>
    <t>0352 ZM</t>
  </si>
  <si>
    <t>5139</t>
  </si>
  <si>
    <t>5169</t>
  </si>
  <si>
    <t>5175</t>
  </si>
  <si>
    <t>5194</t>
  </si>
  <si>
    <t>IR</t>
  </si>
  <si>
    <t>z toho:    1341 Kino-kulturní dům</t>
  </si>
  <si>
    <t>1391   6121</t>
  </si>
  <si>
    <t>0380-Správa majetku</t>
  </si>
  <si>
    <t>Rekonstrukce hřbitovní kaple v Krásné Lípě</t>
  </si>
  <si>
    <t>Chodník Masarykova</t>
  </si>
  <si>
    <t>požadavek na služby pošt 3 tis.</t>
  </si>
  <si>
    <t>Požadavek na aktualizaci dat GRAMIS  15 tis.</t>
  </si>
  <si>
    <t>0354 - Pojištění</t>
  </si>
  <si>
    <t>ostat. služby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</si>
  <si>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</si>
  <si>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</si>
  <si>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</si>
  <si>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</si>
  <si>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</si>
  <si>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</si>
  <si>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</si>
  <si>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</si>
  <si>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</si>
  <si>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</si>
  <si>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na pevná paliva 1 tis.</t>
  </si>
  <si>
    <t>Požadavek na materiál 25 tis.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</si>
  <si>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</si>
  <si>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</si>
  <si>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</si>
  <si>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</si>
  <si>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</si>
  <si>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0380   6121, 5169</t>
  </si>
  <si>
    <t>Požadavek ostatní služby 25 tis. (TERMI, výtah, Hozdek, Jungmann, ostatní)</t>
  </si>
  <si>
    <t>Požadavek na materiál 20 tis.</t>
  </si>
  <si>
    <t>Prevence kriminality   1390</t>
  </si>
  <si>
    <t>provize vymáhací společnosti za vymožené dluhy</t>
  </si>
  <si>
    <t>1356</t>
  </si>
  <si>
    <t>Radnice - nákup automobilu</t>
  </si>
  <si>
    <t>1356   6123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</si>
  <si>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</si>
  <si>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</si>
  <si>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</si>
  <si>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</si>
  <si>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</si>
  <si>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</si>
  <si>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</si>
  <si>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</si>
  <si>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</si>
  <si>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</si>
  <si>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</si>
  <si>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</si>
  <si>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</si>
  <si>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</si>
  <si>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</si>
  <si>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</si>
  <si>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</si>
  <si>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</si>
  <si>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</si>
  <si>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</si>
  <si>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</si>
  <si>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</si>
  <si>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</si>
  <si>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</si>
  <si>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</si>
  <si>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</si>
  <si>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</si>
  <si>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</si>
  <si>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</si>
  <si>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</si>
  <si>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</si>
  <si>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</si>
  <si>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</si>
  <si>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</si>
  <si>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</si>
  <si>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</si>
  <si>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</si>
  <si>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</si>
  <si>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</si>
  <si>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</si>
  <si>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Vratka dotace - FOS  2376</t>
  </si>
  <si>
    <t>Dotace  UZ15291, pol. 4116</t>
  </si>
  <si>
    <t>0314 Dotace na zateplení ZŠ Krásná Lípa, nástroj 54-zdroj 5  EU</t>
  </si>
  <si>
    <t>0314 Dotace na zateplení ZŠ Krásná Lípa, nástroj 54-zdroj 1  ČR</t>
  </si>
  <si>
    <t>2321-neinv. dary</t>
  </si>
  <si>
    <t>Dotace Obnova zeleně-biodiverzita,nástroj 53-zdroj 5   EU</t>
  </si>
  <si>
    <t>Dotace Obnova zeleně-biodiverzita,nástroj 53-zdroj 1   ČR</t>
  </si>
  <si>
    <t>8353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</si>
  <si>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</si>
  <si>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</si>
  <si>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</si>
  <si>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</si>
  <si>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</si>
  <si>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</si>
  <si>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</si>
  <si>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</si>
  <si>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</si>
  <si>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</si>
  <si>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</si>
  <si>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</si>
  <si>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</si>
  <si>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</si>
  <si>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</si>
  <si>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</si>
  <si>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</si>
  <si>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</si>
  <si>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</si>
  <si>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</si>
  <si>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</si>
  <si>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</si>
  <si>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</si>
  <si>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</si>
  <si>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</si>
  <si>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</si>
  <si>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</si>
  <si>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</si>
  <si>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</si>
  <si>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</si>
  <si>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</si>
  <si>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</si>
  <si>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</si>
  <si>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</si>
  <si>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</si>
  <si>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</si>
  <si>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</si>
  <si>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</si>
  <si>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</si>
  <si>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</si>
  <si>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</si>
  <si>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</si>
  <si>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</si>
  <si>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</si>
  <si>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</si>
  <si>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</si>
  <si>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</si>
  <si>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</si>
  <si>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</si>
  <si>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Příjmy investičního - účelově vázaného - rozpočtu</t>
  </si>
  <si>
    <t>VÝDAJE CELKEM</t>
  </si>
  <si>
    <t xml:space="preserve">Provozní výdaje </t>
  </si>
  <si>
    <t>ochranné pomůcky – rukavice, požární výstroj, ochranné krémy... 35 tis.</t>
  </si>
  <si>
    <t xml:space="preserve">Požadavek na občerstvení při zásahu dle platných pravidel 7 tis.Kč </t>
  </si>
  <si>
    <t>školení,semináře p.Vávra 2 tis.</t>
  </si>
  <si>
    <t>požadavek na údržbu 10 tis.</t>
  </si>
  <si>
    <t>0341 Kultura a propagace</t>
  </si>
  <si>
    <t>1341 Kino-kulturní dům</t>
  </si>
  <si>
    <t>0361 Daně a poplatky</t>
  </si>
  <si>
    <t xml:space="preserve">0301 Vodní nádrže a kanalizace </t>
  </si>
  <si>
    <t>0301 Vodní nádrže a kanalizace</t>
  </si>
  <si>
    <t>1385   5137, 5139</t>
  </si>
  <si>
    <t>Výdaje investičního - účelově vázaného - rozpočtu</t>
  </si>
  <si>
    <t>Dotace  pol. 4122</t>
  </si>
  <si>
    <t>3314</t>
  </si>
  <si>
    <t>Dotace Prevence rizikového chování v Ústeckém kraji v r. 2011-Společně proti šikaně</t>
  </si>
  <si>
    <t>Kanalizace a ČOV - SVS</t>
  </si>
  <si>
    <t>Financování  CELKEM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</si>
  <si>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</si>
  <si>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</si>
  <si>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</si>
  <si>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</si>
  <si>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</si>
  <si>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</si>
  <si>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</si>
  <si>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</si>
  <si>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</si>
  <si>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</si>
  <si>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</si>
  <si>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</si>
  <si>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</si>
  <si>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</si>
  <si>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</si>
  <si>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</si>
  <si>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 xml:space="preserve">Měst.skládka   0302  </t>
  </si>
  <si>
    <t>Připojení k distribuční soustavě - příspěvek ČEZ</t>
  </si>
  <si>
    <t>Dotace   UZ98004</t>
  </si>
  <si>
    <t>9353</t>
  </si>
  <si>
    <t>Dotace na povodně 2010   9353</t>
  </si>
  <si>
    <t>0305   6121</t>
  </si>
  <si>
    <t>6305   5171</t>
  </si>
  <si>
    <t>6305</t>
  </si>
  <si>
    <t>Komunikace</t>
  </si>
  <si>
    <t>2301   6129</t>
  </si>
  <si>
    <t>2301</t>
  </si>
  <si>
    <t>0305   6129</t>
  </si>
  <si>
    <t xml:space="preserve">Rekonstrukce mostku u čp. 59 po povodni 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</si>
  <si>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</si>
  <si>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</si>
  <si>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</si>
  <si>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</si>
  <si>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</si>
  <si>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</si>
  <si>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</si>
  <si>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</si>
  <si>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</si>
  <si>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</si>
  <si>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</si>
  <si>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</si>
  <si>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</si>
  <si>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</si>
  <si>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</si>
  <si>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</si>
  <si>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</si>
  <si>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</si>
  <si>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</si>
  <si>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</si>
  <si>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</si>
  <si>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5341</t>
  </si>
  <si>
    <t>Města bez hranic 5341</t>
  </si>
  <si>
    <t>Dotace   UZ00092, pol. 4122</t>
  </si>
  <si>
    <t>5314</t>
  </si>
  <si>
    <t xml:space="preserve">Dotace Adaptační pobyt </t>
  </si>
  <si>
    <t>Dotace   UZ98007, pol. 4111</t>
  </si>
  <si>
    <t>Dotace na Pomocný analytický přehled  9353</t>
  </si>
  <si>
    <t>Veřejná služba náhrada od ÚP na pojistné  2393</t>
  </si>
  <si>
    <t>Města bez hranic  5341</t>
  </si>
  <si>
    <t>Města bez hranic    5341</t>
  </si>
  <si>
    <t>VPP            0393, projekt Mám práci, veřejná služba  1393, 2393, 3393</t>
  </si>
  <si>
    <t>5314 Adaptační pobyt</t>
  </si>
  <si>
    <t>Dotace UZ 17789, pol. 4216</t>
  </si>
  <si>
    <t>VHP</t>
  </si>
  <si>
    <t>1347,1351-5</t>
  </si>
  <si>
    <t>0383   6122, 6123, 5137</t>
  </si>
  <si>
    <t>1355 odvod z VHP, loterií</t>
  </si>
  <si>
    <t>6429-půjčky obč.sdružením</t>
  </si>
  <si>
    <t>PO   0351</t>
  </si>
  <si>
    <t>Dotace   UZ98071, pol. 4111</t>
  </si>
  <si>
    <t>financování-půjčky pol. 8124</t>
  </si>
  <si>
    <t>financování-úvěry   pol. 8124</t>
  </si>
  <si>
    <t>0393 - VPP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</si>
  <si>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</si>
  <si>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</si>
  <si>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</si>
  <si>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</si>
  <si>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</si>
  <si>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</si>
  <si>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</si>
  <si>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</si>
  <si>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</si>
  <si>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</si>
  <si>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</si>
  <si>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</si>
  <si>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</si>
  <si>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</si>
  <si>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</si>
  <si>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</si>
  <si>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</si>
  <si>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</si>
  <si>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</si>
  <si>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</si>
  <si>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</si>
  <si>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</si>
  <si>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</si>
  <si>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</si>
  <si>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</si>
  <si>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</si>
  <si>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</si>
  <si>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</si>
  <si>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</si>
  <si>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</si>
  <si>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</si>
  <si>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</si>
  <si>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</si>
  <si>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</si>
  <si>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</si>
  <si>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</si>
  <si>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</si>
  <si>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</si>
  <si>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</si>
  <si>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</si>
  <si>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</si>
  <si>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</si>
  <si>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</si>
  <si>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</si>
  <si>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</si>
  <si>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</si>
  <si>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</si>
  <si>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</si>
  <si>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</si>
  <si>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</si>
  <si>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</si>
  <si>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</si>
  <si>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</si>
  <si>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</si>
  <si>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</si>
  <si>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</si>
  <si>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</si>
  <si>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</si>
  <si>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</si>
  <si>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</si>
  <si>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</si>
  <si>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</si>
  <si>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</si>
  <si>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</si>
  <si>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</si>
  <si>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</si>
  <si>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</si>
  <si>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</si>
  <si>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</si>
  <si>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</si>
  <si>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</si>
  <si>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</si>
  <si>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</si>
  <si>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</si>
  <si>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</si>
  <si>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</si>
  <si>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</si>
  <si>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</si>
  <si>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</si>
  <si>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</si>
  <si>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</si>
  <si>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</si>
  <si>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</si>
  <si>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</si>
  <si>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</si>
  <si>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</si>
  <si>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</si>
  <si>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</si>
  <si>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OOV Koubek ozvučení, Vais - moderátor , apod. + org. zajištění od TS</t>
  </si>
  <si>
    <t>povinné ručení, havarijní pojištění, pojištění majetku vč. Křinického nám.</t>
  </si>
  <si>
    <t>Příspěvky KOSTKA</t>
  </si>
  <si>
    <t>Rezerva sociálního fondu</t>
  </si>
  <si>
    <t>*</t>
  </si>
  <si>
    <t>2420 - splátky půjčky od obč.sdružení</t>
  </si>
  <si>
    <t>2460, 2420</t>
  </si>
  <si>
    <t>Účel.půjčka</t>
  </si>
  <si>
    <t>5511,5329,5660</t>
  </si>
  <si>
    <t>KOSTKA - Profesní orientace (podpora romské komunity) 6376</t>
  </si>
  <si>
    <t>7376</t>
  </si>
  <si>
    <t>KOSTKA -  Komunitní plánování na Šluknovsku 5376</t>
  </si>
  <si>
    <t>KOSTKA - Učení je cesta 7376</t>
  </si>
  <si>
    <t>KOSTKA - Učení je cesta  7376</t>
  </si>
  <si>
    <t>Město Krásná Lípa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</si>
  <si>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</si>
  <si>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</si>
  <si>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</si>
  <si>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</si>
  <si>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</si>
  <si>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</si>
  <si>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</si>
  <si>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</si>
  <si>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</si>
  <si>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</si>
  <si>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</si>
  <si>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</si>
  <si>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</si>
  <si>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</si>
  <si>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</si>
  <si>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</si>
  <si>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5137</t>
  </si>
  <si>
    <t>3376  6351</t>
  </si>
  <si>
    <t>3376</t>
  </si>
  <si>
    <t>0395   6121</t>
  </si>
  <si>
    <t>požadavek telefonní, mobilní platby 140 tis.</t>
  </si>
  <si>
    <t>Dotace Učení je cesta, nástroj 33-zdroj 5  EU</t>
  </si>
  <si>
    <t>Dotace Učení je cesta, nástroj 33-zdroj 1  ČR</t>
  </si>
  <si>
    <t>T-klub, prevence kriminality          0390, 1390, 2390, 3390</t>
  </si>
  <si>
    <t>VPP              0393, 3393, 5393  (nové smlouvy-nástroj 33-zdroj 5)  EU</t>
  </si>
  <si>
    <t>VPP              0393, 3393, 5393  (nové smlouvy-nástroj 33-zdroj 1)  ČR</t>
  </si>
  <si>
    <t>3390</t>
  </si>
  <si>
    <t>Dotace - Asistent prevence kriminality  3390</t>
  </si>
  <si>
    <t>požadavek služby výpočet. techniky 339 tis. (správa sítě, aktualizace programů, …)</t>
  </si>
  <si>
    <t>neinvestiční příspěvek města na provoz Kostka, p.o.</t>
  </si>
  <si>
    <t>průtoková dotace Aktivizace rodin pro Kostka, p.o.</t>
  </si>
  <si>
    <t>průtoková dotace Komunitní plánování pro Kostka, p.o.</t>
  </si>
  <si>
    <t>Přehled požadavků  k rozpočtu města Krásná Lípa na rok 2013</t>
  </si>
  <si>
    <t xml:space="preserve">promítání  </t>
  </si>
  <si>
    <t>Přístavba kina</t>
  </si>
  <si>
    <t>Bluray</t>
  </si>
  <si>
    <t>požadavek na služby 25 tis. na  akce dle plánu práce SPOZ</t>
  </si>
  <si>
    <t>požadavek na občerstvení 13 tis. na akce dle plánu práce SPOZ</t>
  </si>
  <si>
    <t>požadavek na dárkové balíčky 30 tis. pro jubilanty</t>
  </si>
  <si>
    <t>požadavek na DDHM - regál</t>
  </si>
  <si>
    <t xml:space="preserve">požadavek na telefonní poplatky, poplatek za rozhlas </t>
  </si>
  <si>
    <t>požadavek 270 tis. (chodba, zasedačka, úprava podatelny)</t>
  </si>
  <si>
    <t>Od Pa</t>
  </si>
  <si>
    <t>Oddíl</t>
  </si>
  <si>
    <t>paragraf</t>
  </si>
  <si>
    <t>Organizační složky města</t>
  </si>
  <si>
    <t>Kapitoly</t>
  </si>
  <si>
    <t>ochranné pomůcky - holiny, pláštěnky</t>
  </si>
  <si>
    <t>5132</t>
  </si>
  <si>
    <t>vybavení lékárniček - výměna za prošlé</t>
  </si>
  <si>
    <t>požadavek předplatné 25 tis. ( odborné publikace,  Veřejná správa, Moderní obec)</t>
  </si>
  <si>
    <t>požadavek materiál 150 tis. (kancelářské potřeby, tonery,papírenské a drogistické zboží)</t>
  </si>
  <si>
    <t>požadavek PHM 40tis.</t>
  </si>
  <si>
    <t>poštovné</t>
  </si>
  <si>
    <t>služby peněžních ústavů - za vedení účtů</t>
  </si>
  <si>
    <t>právní, konzultační služby</t>
  </si>
  <si>
    <t xml:space="preserve">požadavek školení, semináře, ZOZ, vstup. vzdělávání   70 tis. </t>
  </si>
  <si>
    <t>požadavek služby 600 tis. (opravy kancel. techniky a služeb. vozidla, příspěvek na obědy, ost. služby)</t>
  </si>
  <si>
    <t>požadavek na cestovné (cestovné na semináře, školení, prac. schůzky) 40tis.</t>
  </si>
  <si>
    <t xml:space="preserve">požadavek na občerstvení 50tis. (občerstvení pro RM, ZM, prac.schůzky, jednání, komise RM, apod.) </t>
  </si>
  <si>
    <t>příspěvek na fasády, ploty, květiny, apod. pro rok 2013</t>
  </si>
  <si>
    <t>požadavek údržba(střecha+žlaby, výmalba+oprava schodišťové haly, výměna oken) 1.480 tis. Kč</t>
  </si>
  <si>
    <t>Požadavek ostatní služby (komín, TERMI, JAPEX, HP, Ventos, ostat.) 50 tis.</t>
  </si>
  <si>
    <t>požadavek údržba (střecha (fólie), drobné opravy)</t>
  </si>
  <si>
    <t>Požadavek ostatní služby 10 tis. (kominík, zvony, Hozdek, ostatní)</t>
  </si>
  <si>
    <t>požadavek údržba (opravy nad rámec nájemních smluv ( o.p.s., apod.)</t>
  </si>
  <si>
    <t>Nákup pozemků 100 tis.</t>
  </si>
  <si>
    <t>Požadavek na služby (geometrické plány, znalecké posudky, vytyčení pozemků, atd.) 100 tis.</t>
  </si>
  <si>
    <t>požadavek na služby (geometrické plány, průkazy energetické náročnosti budov) 100 tis.</t>
  </si>
  <si>
    <t>daň z převodu nemovitosti = 4% z kupní ceny nemovitosti</t>
  </si>
  <si>
    <t>vrácení kaucí po splnění podmínek daných kupními smlouvami: 500tis. Krini center (Křin.nám. 255/5), 50tis. Milec (Havlíčkova 628/34)</t>
  </si>
  <si>
    <t>občerstvení pro děti z MŠ a ZŠ při vystupování v DPS</t>
  </si>
  <si>
    <t>požadavek DDHM (sušička prádla) 10tis.</t>
  </si>
  <si>
    <t>Požadavek ochranné pomůcky - pracovní obuv 3tis.</t>
  </si>
  <si>
    <t>Požadavek na služby pošt 4 tis.(poštovné za složenky - vyúčtování služeb)</t>
  </si>
  <si>
    <t>Požadavek na telefony 7 tis.</t>
  </si>
  <si>
    <t>Požadavek na služby výpočetní techniky, Starlit 10 tis.</t>
  </si>
  <si>
    <t>Požadavek na školení, semináře 2 tis.</t>
  </si>
  <si>
    <t>údržba - kůlen, střech, komínů, oken, hromosvodů, apod. 100 tis.</t>
  </si>
  <si>
    <t xml:space="preserve">Investice SMM (rekonstrukce oken, el.rozvodů, komínů, rozvaděče dle přehledu ved.OMCS) 940 tis. </t>
  </si>
  <si>
    <t>Požadavek na materiál 35 tis.</t>
  </si>
  <si>
    <t>požadavek údržba (výmalba chodeb, drobné opravy a údržba) 100tis.</t>
  </si>
  <si>
    <t>Požadavek ostatní služby 25 tis. (TERMI, Jungmann, ostatní)</t>
  </si>
  <si>
    <t>požadavek údržba (výměna linolea, výmalby, oprava střechy) 320tis.</t>
  </si>
  <si>
    <t>materiál - pytle a rukavice na likvidaci odpadu, barvy 3tis.</t>
  </si>
  <si>
    <t>materiál (čistící prostředky, oprava střechy na kapli na hřbitově Kr.L., oprava pomníku na hřbitově K.L.) 130tis.</t>
  </si>
  <si>
    <t xml:space="preserve">požadavek ochranné pomůcky (pracovní oděv, obuv) </t>
  </si>
  <si>
    <t>požadavek služby 12 tis. (příspěvek na zájezd, hudební produkce, pod.)</t>
  </si>
  <si>
    <t>neinv. příspěvek města na provoz ZŠ a MŠ 3.610tis. + SA 1.060tis.+ usnesení ZM č. 14-26/2012</t>
  </si>
  <si>
    <t>státní dotace na provoz ZŠ a MŠ - od 1.1.2013 zrušena</t>
  </si>
  <si>
    <t>příspěvek města odpisy ZŠ a MŠ, p.o. na rok 2013</t>
  </si>
  <si>
    <t xml:space="preserve">0376,1376, 2376, 3376, 4376, 5376, 7376 </t>
  </si>
  <si>
    <t>průtoková dotace Učení je cesta pro Kostka, p.o.</t>
  </si>
  <si>
    <t>2013</t>
  </si>
  <si>
    <t xml:space="preserve">na nákupy DHM, DDHM, materiálu, služeb, investic </t>
  </si>
  <si>
    <t>RO 2013</t>
  </si>
  <si>
    <t>RO  2013</t>
  </si>
  <si>
    <t>tis. Kč</t>
  </si>
  <si>
    <t>Tabulka č. 3</t>
  </si>
  <si>
    <t>Tabulka č. 2</t>
  </si>
  <si>
    <t>Tabulka č. 1</t>
  </si>
  <si>
    <t>neinvestiční příspěvky ER Labe, ER Nisa, SEVER, MAS</t>
  </si>
  <si>
    <t xml:space="preserve">příspěvek města na odpisy KOSTKA, p.o. na rok 2013   </t>
  </si>
  <si>
    <t xml:space="preserve">materiál(studny, kanál.mříže, propustky, sací koše, odbahnění rybníku Olšák, nad hřištěm, u Nobilis Tilia na VH) </t>
  </si>
  <si>
    <t>posypy,písek,štěrk,asfalty, překopy MK, sůl zimní údržba 400 tis.</t>
  </si>
  <si>
    <t>drobné opravy mostků,nátěr a opravy zábradlí,nátěry zábradlí na MK,chodníkách, cyklost.,odvodnění MK,instalace svodnic 30tis.</t>
  </si>
  <si>
    <t>bez požadavku</t>
  </si>
  <si>
    <t>materiál(hadice,hasící přístroje, ruční nářadí (lopaty, hrábě...), proudnice, savice, pneumatiky 35 tis.</t>
  </si>
  <si>
    <t>požadavek služby (revize dýchacích a hasících přístrojů)  50 tis.</t>
  </si>
  <si>
    <t>požadavek údržba (oprava vozidel tatra, avia, čerpadel) 30 tis.</t>
  </si>
  <si>
    <t>požadavek příspěvek SDH - náhrada hodin dle dohody - zásahy v obci, hodiny pro město 60 tis.</t>
  </si>
  <si>
    <t xml:space="preserve"> materiál (běžné provozní a havarijní opravy, výměna rozpadlých oken, bojlerů, rozvody vody,elektriky, odpadů, drobné opravy střeš.krytiny)</t>
  </si>
  <si>
    <t>požadavek PHM nafta do M25 ve výši 25 tis.Kč</t>
  </si>
  <si>
    <t xml:space="preserve">ochranné pomůcky - montérky, zimní bundy, boty, holinky, rukavice </t>
  </si>
  <si>
    <t xml:space="preserve">požadavek DDHM ( ruční nářadí) </t>
  </si>
  <si>
    <t>požadavek materiál (náhradní díly vozový park, zimní, letní pneu)</t>
  </si>
  <si>
    <t xml:space="preserve">požadavek telefon.platby ( 4xpaušál, 1x pevná linka, kredit zaměst. ) </t>
  </si>
  <si>
    <t>požadavek seminářů, kurzů, povin.školení řidičů, školení lešenářů, svářeči</t>
  </si>
  <si>
    <t>požadavek na OOV ( úklid sněhu, údržba zeleně, kopání hrobů, odchyt psů) 110tis.Kč</t>
  </si>
  <si>
    <t>požadavek DDHM (elektrikářské nářadí)12 tis.</t>
  </si>
  <si>
    <t xml:space="preserve">materiál (provozní, žárovky, výbojky, nové pneu na plošinu, žebřík, větší rozsah oprav VO, jističe, stykače, nová vánoč.výzdoba) </t>
  </si>
  <si>
    <t>el. energie města VO 700 tis.</t>
  </si>
  <si>
    <t>pravidelné školení elektrikáře</t>
  </si>
  <si>
    <t>DDHM (drobné zahradnické nářadí)</t>
  </si>
  <si>
    <t>benzín - údržba zeleně, motorové pily</t>
  </si>
  <si>
    <t xml:space="preserve">požadavek na běžné provozní opravy zahradní techniky, velká plošina na kácení stromů </t>
  </si>
  <si>
    <t>Materiál (oprava laviček,výměna odp.košů, barva na nátěr autobusových zastávek, zábradlí, soch)</t>
  </si>
  <si>
    <t>el. energie na provoz fontány na náměstí, provoz vodotrysku v rybníku u  autobus. nádraží</t>
  </si>
  <si>
    <t>dohoda na 1 pracovníka - správce fotbalového hřiště</t>
  </si>
  <si>
    <t>požadavek materiál (barvy na nátěr herních prvků na hřištích,běžná údržba,  ředidla, barvy na lajnování, travní semeno, hnojiva, apod.)</t>
  </si>
  <si>
    <t>VPP, projekt Mám práci, Tivit - bez požadavku</t>
  </si>
  <si>
    <t>SP 25% - bez požadavku</t>
  </si>
  <si>
    <t>ZP 9% - bez požadavku</t>
  </si>
  <si>
    <t>skládka - vynětí z půdního fondu</t>
  </si>
  <si>
    <t>Vratka dotace - Volby prezidenta ČR  2353</t>
  </si>
  <si>
    <t>1353</t>
  </si>
  <si>
    <t>Vratka dotace - Volby do zastupitelstva kraje a senátu 1353</t>
  </si>
  <si>
    <t>požadavek DDHM (sekačka na trávu)</t>
  </si>
  <si>
    <t>Rekonstrukce balkónů, fasáda  v DPS   rozp. položka   0395   6121</t>
  </si>
  <si>
    <t>požadavek OOV</t>
  </si>
  <si>
    <t xml:space="preserve">r. 2013 do r. 2016           </t>
  </si>
  <si>
    <t>Příjem SVS, a.s.-úroky z půjčky SFŽP ČR na ČOV+kanalizace  rozp. položka 3122</t>
  </si>
  <si>
    <t>Příjem od SVS, a.s.na výstavbu ČOV+kanalizace rozp. pol. 3122</t>
  </si>
  <si>
    <t>Splátky půjčky ze SFŽP na ČOV+kanalizace  rozp. položka  8xxx</t>
  </si>
  <si>
    <t>Úroky z půjčky SFŽP na ČOV+kanalizace         rozp. pol. 5141</t>
  </si>
  <si>
    <t>Ostatní neinvestiční výdaje  5494, 5909, 5240,  5321 neinv.transf.obcím, AR</t>
  </si>
  <si>
    <t>Dotace Kostky, p.o. - Aktivizace rodin (AR)</t>
  </si>
  <si>
    <t>Přebytek  předchozích let  vč. zhodnoc.finan. prostředků  rozp. položka 8xxx</t>
  </si>
  <si>
    <t>Energetické úspory u budov školní jídelny a školní družiny 1314    rozp. položka 6121 (vč. dalších prací)</t>
  </si>
  <si>
    <t>Projektové dokumentace a dokumenty pro projekty financované ze zdrojů EU  0394    rozp.pol. 6121 a ÚP</t>
  </si>
  <si>
    <t>TS-oprava budov - fasáda  0383    rozp. položka  6121</t>
  </si>
  <si>
    <t>Kanalizace II.etapa od SFŽP ČR  0301</t>
  </si>
  <si>
    <t>Příjem od Severočeské vodárenské společnosti, a.s.na výstavbu ČOV+1.etapa kanalizace + 2.etapa kanal. rozp. pol. 3122</t>
  </si>
  <si>
    <t>Varovný protipovodňový systém</t>
  </si>
  <si>
    <t>1341   6121</t>
  </si>
  <si>
    <t>0311   6121</t>
  </si>
  <si>
    <t>0356   6121</t>
  </si>
  <si>
    <t>4301   6129</t>
  </si>
  <si>
    <t>4301</t>
  </si>
  <si>
    <t>2391</t>
  </si>
  <si>
    <t>2391   6121</t>
  </si>
  <si>
    <t>Hřiště u T- klubu     2391   rozp. položka   6121</t>
  </si>
  <si>
    <t>2.etapa kanalizace-Sev.vodáren.</t>
  </si>
  <si>
    <t>Učení je cesta - preventisti  7376</t>
  </si>
  <si>
    <t>50tis. Bezděk (Pražská 271/20), 1mil. Křinický pivovar (Křin.nám.7/12), 300tis. Econ (Továrna)</t>
  </si>
  <si>
    <t xml:space="preserve">380 tis. příspěvky na činnost zájmovým org. + 70 tis. Tour de Femini </t>
  </si>
  <si>
    <t>2341   6122</t>
  </si>
  <si>
    <t>6341</t>
  </si>
  <si>
    <t>Kino -KD dataprojektor a bluray (vč. souvisejícího)    6341  rozp.položka  6122</t>
  </si>
  <si>
    <t>dary - odměny PET lahve</t>
  </si>
  <si>
    <t>od 1.1.2012 převod do správy Kostka, p.o., příspěvek 30tis. na spolupodíl projektu, usnesení ZM č. 8-14/2011</t>
  </si>
  <si>
    <t>požadavek na PHM k zajištění likvidace odpadu ve sběrném dvoře, skládek</t>
  </si>
  <si>
    <t>služby za separovaný odpad, sběrný dvůr,černé skládky  a  svozu TDO</t>
  </si>
  <si>
    <t>požadavek na zpracování dat SIPO od Starlit</t>
  </si>
  <si>
    <t>odměna právničce  3,5% z prodeje nemovitostí</t>
  </si>
  <si>
    <t xml:space="preserve">Požadavek na materiál – lesy (sazenice, repelenty) </t>
  </si>
  <si>
    <t xml:space="preserve">požadavek na materiál  </t>
  </si>
  <si>
    <t>poplatek TV, rozhlas, telefony pečovatelek</t>
  </si>
  <si>
    <t>požadavek na služby  = revize HP, hydrantů, antény, výtahu, příspěvek na obědy peč., ostat. služby</t>
  </si>
  <si>
    <t xml:space="preserve">aktualizace programu Pečovatelská služba </t>
  </si>
  <si>
    <t>cestovné na školení pečovatelek</t>
  </si>
  <si>
    <t>požadavek na služby = vystoupení na měst. akcích, propagace města v novinách, na internetu, placení domény ČŠ</t>
  </si>
  <si>
    <t>dotace na činnost ČŠ, o.p.s. dle platné smlouvy (2 x 400tis.) + 23 tis. destinační fond ČŠ</t>
  </si>
  <si>
    <t xml:space="preserve">požadavek materiál = letáky, propagační materiály </t>
  </si>
  <si>
    <t>služby (pohřby pro osoby bez rodiny, revize komínu, apod.)</t>
  </si>
  <si>
    <t>PHM na sekání trávy 1 tis.</t>
  </si>
  <si>
    <t xml:space="preserve">požadavek na telefonní poplatky 1 tis. </t>
  </si>
  <si>
    <t>Požadavek na materiál 10 tis.</t>
  </si>
  <si>
    <t>Požadavek ostatní služby 20 tis. (TERMI, HP,ostatní)</t>
  </si>
  <si>
    <t>požadavek na publikace, kalendáře 40 tis. Kč - cestovní ruch</t>
  </si>
  <si>
    <t>Požadavek na bankovní služby k účtu OMCS  6 tis.</t>
  </si>
  <si>
    <t>Požadavek ostatní služby(přísp. obědy, kominík, SIPO,Hozdek,Jungmann,..) 220 tis.</t>
  </si>
  <si>
    <t>benzín do sekaček - sekání fotbal. hřiště</t>
  </si>
  <si>
    <t>požadavek služby (technická kontrola dětských hřišť dle norem)</t>
  </si>
  <si>
    <t>0392-Zařízení pro sport</t>
  </si>
  <si>
    <t>Požadavek na materiál 200 tis.(chem.postřiky,hnojiva,rostliny v rámci dosadeb,drobné ruč.nář.,náhr.díly sekač.,křovinoř.,mot.pily,prov.mat.</t>
  </si>
  <si>
    <t>požadavek DDHM (klempíř.nářadí-nůžky na plech, kl.kleště, lano)</t>
  </si>
  <si>
    <t>požadavek na telefony (p.Vávra paušál, pevná linka ) 10 tis.</t>
  </si>
  <si>
    <t>požadavek (revize hromosvodů, hasících přístrojů)</t>
  </si>
  <si>
    <t>požadavek PHM - zimní údržba, oprava komunikací - Z 7441, Z 11441, Z 125, JCB, Yukon, M25-sypač</t>
  </si>
  <si>
    <t>požadavek PHM nafta nakladač JCB</t>
  </si>
  <si>
    <t xml:space="preserve">OOV - rybáři-p.Šulc, les - p.Novák  celkem 26tis.  </t>
  </si>
  <si>
    <t>PHM (nafta, benzín, oleje)</t>
  </si>
  <si>
    <t>požadavek služby (provozní opravy, revize, servisní prohlídky JCB, STK vozidel a přívěsů, příspěv. na stravování)</t>
  </si>
  <si>
    <t>požadavek na cestovné na školení</t>
  </si>
  <si>
    <t>požadavek DDHM - drobné vybavení</t>
  </si>
  <si>
    <t>požadavek telefony - paušál 10tis.</t>
  </si>
  <si>
    <t xml:space="preserve">požadavek PHM (nafta, benzín - tatra, avia, čerpadla )50 tis. </t>
  </si>
  <si>
    <t>Požadavek pravidelná školení JSDH 10 tis.</t>
  </si>
  <si>
    <t>požadavek PHM nafta pro  plošinu, M-žebřík</t>
  </si>
  <si>
    <t>požadavek služby (revize hydraulické plošiny a žebříku, pravidelná prohlídka věžních hodin)</t>
  </si>
  <si>
    <t>požadavek materiál</t>
  </si>
  <si>
    <t>požadavek údržby v kině-kultur.domě</t>
  </si>
  <si>
    <t>požadavek cestovné k přepravě filmů</t>
  </si>
  <si>
    <t>přepravné filmů - poštovné</t>
  </si>
  <si>
    <t>telef. poplatky za služební telefon</t>
  </si>
  <si>
    <t>požadavek na materiál 26 tis. na  akce dle plánu práce SPOZ</t>
  </si>
  <si>
    <t>požadavek na materiál</t>
  </si>
  <si>
    <t>Noc s Andersenem, opravy, vymalování knihovny apod.</t>
  </si>
  <si>
    <t>občerstvení na noc s Andersenem</t>
  </si>
  <si>
    <t>knižní fond, časopisy, publikace</t>
  </si>
  <si>
    <t>materiál na kulturní akce města</t>
  </si>
  <si>
    <t>zajištění programu kultur. akcí</t>
  </si>
  <si>
    <t xml:space="preserve">občerstvení ke kulturním akcím </t>
  </si>
  <si>
    <t>5194, 5492</t>
  </si>
  <si>
    <t>1357</t>
  </si>
  <si>
    <t>1357   6121</t>
  </si>
  <si>
    <t>1314</t>
  </si>
  <si>
    <t>7305   6129</t>
  </si>
  <si>
    <t>7305</t>
  </si>
  <si>
    <t>2386</t>
  </si>
  <si>
    <t>3386</t>
  </si>
  <si>
    <t>3386   5171</t>
  </si>
  <si>
    <t>4386</t>
  </si>
  <si>
    <t>Dotace   UZ33123, pol. 4116</t>
  </si>
  <si>
    <t>4314</t>
  </si>
  <si>
    <t>Dotace Ve škole zajímavě, nástroj 32-zdroj 5 EU</t>
  </si>
  <si>
    <t>Dotace Ve škole zajímavě, nástroj 32-zdroj 1 ČR</t>
  </si>
  <si>
    <t>6376</t>
  </si>
  <si>
    <t>Dotace Profesní orientace (podpora romské komunity)</t>
  </si>
  <si>
    <t>požadavek na software 40 tis. Kč (dokoupení licencí)</t>
  </si>
  <si>
    <t>požadavek na kolky 30 tis.Kč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</si>
  <si>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</si>
  <si>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</si>
  <si>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</si>
  <si>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</si>
  <si>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</si>
  <si>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</si>
  <si>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</si>
  <si>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</si>
  <si>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</si>
  <si>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</si>
  <si>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</si>
  <si>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</si>
  <si>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</si>
  <si>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</si>
  <si>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</si>
  <si>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</si>
  <si>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</si>
  <si>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</si>
  <si>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</si>
  <si>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</si>
  <si>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</si>
  <si>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</si>
  <si>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</si>
  <si>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</si>
  <si>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</si>
  <si>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</si>
  <si>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</si>
  <si>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</si>
  <si>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</si>
  <si>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</si>
  <si>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</si>
  <si>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</si>
  <si>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</si>
  <si>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</si>
  <si>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</si>
  <si>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</si>
  <si>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</si>
  <si>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</si>
  <si>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</si>
  <si>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</si>
  <si>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</si>
  <si>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</si>
  <si>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</si>
  <si>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</si>
  <si>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</si>
  <si>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</si>
  <si>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</si>
  <si>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</si>
  <si>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</si>
  <si>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</si>
  <si>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</si>
  <si>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</si>
  <si>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</si>
  <si>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</si>
  <si>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</si>
  <si>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</si>
  <si>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</si>
  <si>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</si>
  <si>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</si>
  <si>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</si>
  <si>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</si>
  <si>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</si>
  <si>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</si>
  <si>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</si>
  <si>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</si>
  <si>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</si>
  <si>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</si>
  <si>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</si>
  <si>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</si>
  <si>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</si>
  <si>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</si>
  <si>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UZ33160, pol. 4116</t>
  </si>
  <si>
    <t>projekt Mám práci  1393, 2393, 3393</t>
  </si>
  <si>
    <t>4355   5221</t>
  </si>
  <si>
    <t>4355</t>
  </si>
  <si>
    <t>PO Krásná Lípa  0351</t>
  </si>
  <si>
    <t>Dotace   UZ14008</t>
  </si>
  <si>
    <t>3353</t>
  </si>
  <si>
    <t>Projekt CZECH POINT  3353</t>
  </si>
  <si>
    <t>0373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</si>
  <si>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</si>
  <si>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</si>
  <si>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</si>
  <si>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</si>
  <si>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</si>
  <si>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</si>
  <si>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</si>
  <si>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UZ14004, pol. 4122</t>
  </si>
  <si>
    <t>Dotace pol. 4112</t>
  </si>
  <si>
    <t>Dotace  UZ14005, pol. 4122</t>
  </si>
  <si>
    <t>Dotace  UZ04428, pol. 4116</t>
  </si>
  <si>
    <t>Dotace KÚ - Fond vodního hosp. (PD-kanalizace II)</t>
  </si>
  <si>
    <t>2374</t>
  </si>
  <si>
    <t>Podpora terénní práce - AMARI poradna  2374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</si>
  <si>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</si>
  <si>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</si>
  <si>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</si>
  <si>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</si>
  <si>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</si>
  <si>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</si>
  <si>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</si>
  <si>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</si>
  <si>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</si>
  <si>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</si>
  <si>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</si>
  <si>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</si>
  <si>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</si>
  <si>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</si>
  <si>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</si>
  <si>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</si>
  <si>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</si>
  <si>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</si>
  <si>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</si>
  <si>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</si>
  <si>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</si>
  <si>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</si>
  <si>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</si>
  <si>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</si>
  <si>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</si>
  <si>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</si>
  <si>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</si>
  <si>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</si>
  <si>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</si>
  <si>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</si>
  <si>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</si>
  <si>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</si>
  <si>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</si>
  <si>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</si>
  <si>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</si>
  <si>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</si>
  <si>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</si>
  <si>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</si>
  <si>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</si>
  <si>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</si>
  <si>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</si>
  <si>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</si>
  <si>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</si>
  <si>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</si>
  <si>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</si>
  <si>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</si>
  <si>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</si>
  <si>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</si>
  <si>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</si>
  <si>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</si>
  <si>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</si>
  <si>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</si>
  <si>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</si>
  <si>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</si>
  <si>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</si>
  <si>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</si>
  <si>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</si>
  <si>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</si>
  <si>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</si>
  <si>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</si>
  <si>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</si>
  <si>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</si>
  <si>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</si>
  <si>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</si>
  <si>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</si>
  <si>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</si>
  <si>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</si>
  <si>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</si>
  <si>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</si>
  <si>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</si>
  <si>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</si>
  <si>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</si>
  <si>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</si>
  <si>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</si>
  <si>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</si>
  <si>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</si>
  <si>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</si>
  <si>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</si>
  <si>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</si>
  <si>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4386   5229</t>
  </si>
  <si>
    <t>Volby do zastupitelstva krajů   1353</t>
  </si>
  <si>
    <t>Dotace  UZ13233, pol. 4116</t>
  </si>
  <si>
    <t>Dotace   UZ98193, pol. 4111</t>
  </si>
  <si>
    <t>9376</t>
  </si>
  <si>
    <t>Dotace S rodiči do školky  9376</t>
  </si>
  <si>
    <t>Příjmy z činnosti (RO) rozp. položky třídy2</t>
  </si>
  <si>
    <t>Daňové příjmy rozp. položky 111x+112x+151x</t>
  </si>
  <si>
    <t>Dotace (na státní správu, od obcí na žáka, ostatní) rozp. položky 4xxx</t>
  </si>
  <si>
    <t>Dotace-refundace VPP rozp. položka 4116</t>
  </si>
  <si>
    <t>Příspěvek od ČNFB  Města bez hranic  5341  rozp. položka  2329</t>
  </si>
  <si>
    <t>Správní a jiné poplatky rozp. položky 131x+133x+134x</t>
  </si>
  <si>
    <t>Úroky z BÚ rozp. položka 2141</t>
  </si>
  <si>
    <t>Příjem SVS, a.s. - úroky z půjčky SFŽP ČR na ČOV+kanalizace  rozp. položka 3122</t>
  </si>
  <si>
    <t>Pronájem  centrální kotelny  rozp. položka 2132</t>
  </si>
  <si>
    <t>Úroky ze zhodnocování vol.finan.prostředků, Nemocniční 12a  rozp. položka 2141</t>
  </si>
  <si>
    <t>Příjmy z prodeje nemovitostí, DHM  rozp. položka 3112</t>
  </si>
  <si>
    <t>Příjmy z prodeje pozemků  rozp. položka 3111</t>
  </si>
  <si>
    <t xml:space="preserve">Příjmy z prodeje 33 b.j.Krásná Lípa  org. 0382 rozp. položka 3112  </t>
  </si>
  <si>
    <t>Mzdové prostředky rozp. položky 5011, 5021, 5019, 5023</t>
  </si>
  <si>
    <t>Odvody ze mzdových prostředků rozp. položky 5031, 5032, 5038</t>
  </si>
  <si>
    <t>Materiál rozp. položky 513x</t>
  </si>
  <si>
    <t>Nákupy rozp. položky  515x</t>
  </si>
  <si>
    <t xml:space="preserve">Služby  rozp. položky 516x </t>
  </si>
  <si>
    <t>Ostat.nákupy rozp. položky 517x</t>
  </si>
  <si>
    <t>Neinvest.nákupy rozp. položky 519x</t>
  </si>
  <si>
    <t>Ost.neinv.transfery rozp. položky 536x</t>
  </si>
  <si>
    <t>Příspěvky, dotace rozp. položky 52xx</t>
  </si>
  <si>
    <t>Neinv.příspěvky  rozp. položka 5511, Neinv.půjčky rozp. položky 5621,5660</t>
  </si>
  <si>
    <t xml:space="preserve">Příspěvek města ZŠ Krásná Lípa - neinv.výdaje rozp. položka 5331 </t>
  </si>
  <si>
    <t>Příspěvek města na provoz p.o. KOSTKA - neinv. výdaje rozp. položka 5331</t>
  </si>
  <si>
    <t>Provozní rezerva  1390  rozp. pol.5169</t>
  </si>
  <si>
    <t>Vyrovnání povrchu ulice u objektu Nemocniční 6        1381  rozp. položka  5169</t>
  </si>
  <si>
    <t>Inženýrské služby   1394    rozp. položka 5169</t>
  </si>
  <si>
    <t>Zeleň ve městě       1387    rozp. položky  5139,  5169</t>
  </si>
  <si>
    <t>Odkup pozemků od PF, případ. dalších majitelů   0359    rozp. položka  6130</t>
  </si>
  <si>
    <t>Příspěvek na odpisy přísp.org.ZŠ Kr.Lípa   1311   rozp. položka  5331</t>
  </si>
  <si>
    <t>Příspěvek na odpisy přísp. org. KOSTKA Kr. Lípa  1376    rozp. položka 5331</t>
  </si>
  <si>
    <t>Malé městské stavby   1388      rozp. položka 5139</t>
  </si>
  <si>
    <t>TS-nákup techniky  0383    rozp. položky 6122,  6123, 5137</t>
  </si>
  <si>
    <t>Investice a velké opravy SMM   0380    rozp. položky  6121,  5169</t>
  </si>
  <si>
    <t>Oprava střechy a fasády hřbitovní kaple Krásná Lípa  3386  rozp. položka 5171</t>
  </si>
  <si>
    <t>Molo u rybníka Cimrák   2301    rozp. položka 6129</t>
  </si>
  <si>
    <t>Rekonstrukce kabin na hřišti  1391  rozp. položka 6121</t>
  </si>
  <si>
    <t>Příspěvek na obnovu varhan    4386  rozp. položka 5229</t>
  </si>
  <si>
    <t>Povodně 2010 - rekonstrukce mostku KL-24 k č.p. 31, Dlouhý Důl    1305  rozp. položka 6129</t>
  </si>
  <si>
    <t>Povodně 2010 - rekonstrukce mostku KL-07 v ul. Studánecká u č.p.6   2305  rozp. položka 6129</t>
  </si>
  <si>
    <t>Mostek Studánecká - spojka   7305   rozp. položka 6129</t>
  </si>
  <si>
    <t>Invetiční účelová půjčka pro KČT Krásná Lípa    0391     rozp. položka  6429</t>
  </si>
  <si>
    <t>Dar pro České Švýcarsko o.p.s.    4355   rozp. položka 5221</t>
  </si>
  <si>
    <t>I.rozpočtová rezerva  1390   rozp. položka 6129</t>
  </si>
  <si>
    <t>II.rezerva na projekty    1390   rozp. položka 6129</t>
  </si>
  <si>
    <t>Přebytek  předchozích let  vč. zhodnocených finan. prostředků  rozp. položka 8xxx</t>
  </si>
  <si>
    <t>Dotace   pol. 4122</t>
  </si>
  <si>
    <t>6314</t>
  </si>
  <si>
    <t>Dotace na dopravu žáků na veletrh Educa 2012</t>
  </si>
  <si>
    <t>Převod výtěžku z veřejné sbírky na obnovu varhan  3374</t>
  </si>
  <si>
    <t>KOSTKA - S rodiči do školky 9376</t>
  </si>
  <si>
    <t>6314 Doprava žáků na veletrh Educa 2012</t>
  </si>
  <si>
    <t>1381</t>
  </si>
  <si>
    <t>1381   5169</t>
  </si>
  <si>
    <t>Rekonstrukce střechy hrobky Nietsche  ve Vlčí Hoře   2386    rozp. položka 6121</t>
  </si>
  <si>
    <t>2386   6121</t>
  </si>
  <si>
    <t>Dotace Volby prezidenta ČR 2353 rozp. položka 4111</t>
  </si>
  <si>
    <t>Volby prezidenta ČR  2353</t>
  </si>
  <si>
    <t>Dotace   UZ98008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</si>
  <si>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</si>
  <si>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</si>
  <si>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</si>
  <si>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</si>
  <si>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</si>
  <si>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</si>
  <si>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</si>
  <si>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</si>
  <si>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</si>
  <si>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</si>
  <si>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</si>
  <si>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</si>
  <si>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</si>
  <si>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</si>
  <si>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</si>
  <si>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</si>
  <si>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</si>
  <si>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</si>
  <si>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</si>
  <si>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</si>
  <si>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</si>
  <si>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</si>
  <si>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</si>
  <si>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</si>
  <si>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</si>
  <si>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</si>
  <si>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</si>
  <si>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</si>
  <si>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</si>
  <si>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</si>
  <si>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</si>
  <si>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</si>
  <si>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</si>
  <si>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</si>
  <si>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</si>
  <si>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</si>
  <si>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</si>
  <si>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</si>
  <si>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</si>
  <si>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</si>
  <si>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</si>
  <si>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</si>
  <si>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</si>
  <si>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</si>
  <si>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</si>
  <si>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</si>
  <si>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</si>
  <si>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</si>
  <si>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</si>
  <si>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</si>
  <si>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</si>
  <si>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</si>
  <si>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5511-neinv.příspěvky</t>
  </si>
  <si>
    <t>5329-neinv.transfery/dotace/</t>
  </si>
  <si>
    <t>5660-půjčky zaměst.</t>
  </si>
  <si>
    <t>5613-půjčky práv.osobám</t>
  </si>
  <si>
    <t xml:space="preserve">5613-neinvest.půjčka 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</si>
  <si>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</si>
  <si>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</si>
  <si>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</si>
  <si>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</si>
  <si>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</si>
  <si>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</si>
  <si>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</si>
  <si>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</si>
  <si>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</si>
  <si>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</si>
  <si>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0394   6121</t>
  </si>
  <si>
    <t>1394   5169</t>
  </si>
  <si>
    <t>Provozní rezerva   2390</t>
  </si>
  <si>
    <t>DS   0357</t>
  </si>
  <si>
    <t>1387</t>
  </si>
  <si>
    <t>2387   5139, 5169</t>
  </si>
  <si>
    <t>Obnova zeleně</t>
  </si>
  <si>
    <t>0359   6130</t>
  </si>
  <si>
    <t>61 Investice  v tis.Kč /účelově vázaný rozpočet</t>
  </si>
  <si>
    <t>1386</t>
  </si>
  <si>
    <t>Obnova povrchu  u samoobsluhy</t>
  </si>
  <si>
    <t>Odstavná plocha Smetanova</t>
  </si>
  <si>
    <t>Dlažba na chodníky</t>
  </si>
  <si>
    <t>0305   5139</t>
  </si>
  <si>
    <t xml:space="preserve">5154-el. energie </t>
  </si>
  <si>
    <t>2212 pokuty</t>
  </si>
  <si>
    <t>2219,2212</t>
  </si>
  <si>
    <t>1311   5331</t>
  </si>
  <si>
    <t>1311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</si>
  <si>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</si>
  <si>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</si>
  <si>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</si>
  <si>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</si>
  <si>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</si>
  <si>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</si>
  <si>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1388   5139</t>
  </si>
  <si>
    <t>1388</t>
  </si>
  <si>
    <t>2311   5331</t>
  </si>
  <si>
    <t>2311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</si>
  <si>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</si>
  <si>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</si>
  <si>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</si>
  <si>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</si>
  <si>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</si>
  <si>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</si>
  <si>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0383   6121</t>
  </si>
  <si>
    <t>0394   5169</t>
  </si>
  <si>
    <t>1305   6121</t>
  </si>
  <si>
    <t>Regenerace Křinického náměstí</t>
  </si>
  <si>
    <t>0386   6121</t>
  </si>
  <si>
    <t>Rezerva pro vrácení kaucí a záloh    2390  rozp. položka 6129</t>
  </si>
  <si>
    <t xml:space="preserve">požadavek na údržbu, opravy 50tis.= seřízení výtahu, terče na balkonech u žlut.DPS, nouzové osvětlení + telefon. přípojka d o nového bytu </t>
  </si>
  <si>
    <t>KOSTKA - Odlehčovací služby 2376</t>
  </si>
  <si>
    <t>KOSTKA - Profesní oerientace    6376</t>
  </si>
  <si>
    <t>KOSTKA - SAS    3376</t>
  </si>
  <si>
    <t>KOSTKA - Sociální aktivizační služba   3376</t>
  </si>
  <si>
    <t>účelový příspěvek na doplnění vybavení sport. areálu - usnesení ZM č. 16 - 05/2013</t>
  </si>
  <si>
    <t>0311,0312, 0314, 1311 - Příspěvky ZŠ a MŠ</t>
  </si>
  <si>
    <t>průtoková dotace Sociální aktivizační služba pro Kostka, p.o.</t>
  </si>
  <si>
    <t>průtoková dotace Odlehčovací služby pro Kostka, p.o.</t>
  </si>
  <si>
    <t>spoluúčast projektu Terénní práce/Amari poradna, usnesení ZM č. 14-27/2012 + dotace TP</t>
  </si>
  <si>
    <t>průtoková dotace Profesní orientace pro Kostka, p.o.</t>
  </si>
  <si>
    <t>**</t>
  </si>
  <si>
    <t>Kanalizace II. etapa   3301     rozp. položka  6121,  6129  (řešení financování DPH atp.) a související výdaje</t>
  </si>
  <si>
    <t>CSI  (dům služeb)  1357    rozp. položka  6121, dle schválení dotace</t>
  </si>
  <si>
    <t>Účelový příspěvek p.o. ZŠ a MŠ na sportovní areál  2311   rozp. položka  5331</t>
  </si>
  <si>
    <t>Oprava vnějšku domů Křinické náměstí 1 a Masarykova 1,  1358  rozp. položka 5171</t>
  </si>
  <si>
    <t>Kino-KD - vnější přístavba (nástup na podium) - 1. etapa - hrubá stavba     1341  rozp. položka 6121</t>
  </si>
  <si>
    <t>poznámky :  * jde o předpokládané výdaje projektu  (ale v závisloti na dotacích)</t>
  </si>
  <si>
    <t xml:space="preserve"> ** - jde o část vlastního podílu - bude upřesněno po VŘ a případném schválení dotace</t>
  </si>
  <si>
    <t>8305   6129</t>
  </si>
  <si>
    <t>8305</t>
  </si>
  <si>
    <t>Podíl na odkoupení parkoviště v Pražské ulici   8305   rozp. položka 6129</t>
  </si>
  <si>
    <t>Rozpočet na rok 2013   VÝDAJE</t>
  </si>
  <si>
    <t>Rozpočet na rok 2013    PŘÍJMY</t>
  </si>
  <si>
    <t>Rozpočet na rok 2013   FINANCOVÁNÍ</t>
  </si>
  <si>
    <t>Rozpočet města Krásná Lípa na rok 2013</t>
  </si>
  <si>
    <t>Varovný protipovodňový systém (SFŽP ČR)     4301   rozp. položka   6129</t>
  </si>
  <si>
    <t xml:space="preserve">Upr. RO </t>
  </si>
  <si>
    <t>Upr. RO</t>
  </si>
  <si>
    <t xml:space="preserve">Rozpočet města Krásná Lípa na rok 2013 účelově vázaných prostředků  </t>
  </si>
  <si>
    <t>Upr. RO 2013  v tis. Kč</t>
  </si>
  <si>
    <t>Dotace  UZ13305, pol. 4116</t>
  </si>
  <si>
    <t>Dotace Odlehčovací služby</t>
  </si>
  <si>
    <t xml:space="preserve">Dotace  UZ13305, pol. 4116 </t>
  </si>
  <si>
    <t>Dotace Sociální aktivizační služba</t>
  </si>
  <si>
    <t>pol. 2329</t>
  </si>
  <si>
    <t>Dotace Sociální aktivizační služba pro Kostku Kr. Lípa   3376    rozp. pol. 4116</t>
  </si>
  <si>
    <t>Investiční dotace na 2.etapu kanalizace od SFŽP     0301  rozp. položka  2329</t>
  </si>
  <si>
    <t>Dotace Varovný protipovodňový systém od SFŽP    4301  rozp. položka  2329</t>
  </si>
  <si>
    <t>Dotace hřiště u T-klubu   2391  rozp. položka 2329</t>
  </si>
  <si>
    <t>Dotace Učení je cesta pro Kostku Kr. Lípa  7376   rozp. položka  4116</t>
  </si>
  <si>
    <t>Dotace Profesní orientace (podpora romské komunity) pro Kostku Kr. Lípa  6376   rozp. položka  4116</t>
  </si>
  <si>
    <t>Dotace Komunitní plánování na Šluknovsku  pro Kostku Kr. Lípa  5376    rozp. položka  4116</t>
  </si>
  <si>
    <t>Dotace Aktivizace rodin pro Kostku Kr. Lípa  4376   rozp. položka  4116</t>
  </si>
  <si>
    <t>Dotace Odlehčovací služby pro Kostku Kr. Lípa    2376    rozp. položka   4116</t>
  </si>
  <si>
    <t>Dotace na činnost PO - SDH Krásná Lípa  0351   rozp. položka  4122</t>
  </si>
  <si>
    <t>Dotace-refundace VPP   rozp. položka  4116</t>
  </si>
  <si>
    <t>Dotace  UZ14018, pol. 4116</t>
  </si>
  <si>
    <t>Dotace Asistent prevence kriminality  3390  rozp. položka 4116</t>
  </si>
  <si>
    <r>
      <t>Dotace Energetické úspory u budov ŠJ a ŠD      1314  rozp. položka</t>
    </r>
    <r>
      <rPr>
        <sz val="22"/>
        <color indexed="10"/>
        <rFont val="Arial CE"/>
        <family val="0"/>
      </rPr>
      <t xml:space="preserve"> </t>
    </r>
    <r>
      <rPr>
        <sz val="22"/>
        <rFont val="Arial CE"/>
        <family val="0"/>
      </rPr>
      <t>4213</t>
    </r>
  </si>
  <si>
    <t>Splátka půjčky od KČT Krásná Lípa  0391  rozp. položka  2420</t>
  </si>
  <si>
    <t>Dotace Ve škole zajímavě pro ZŠ Kr. Lípa   4314  rozp. položka  4116</t>
  </si>
  <si>
    <t>Dotace Terénní práce, Amari poradna  2374  rozp. položka  4116</t>
  </si>
  <si>
    <t>Dotace Kompenzace ztráty na daních z lesu  0359  rozp. položka 4116</t>
  </si>
  <si>
    <t>Dotace Energetické úspory u budov ŠJ a ŠD, nástroj 54 - zdroj 1 ČR</t>
  </si>
  <si>
    <t>Dotace   UZ15834 ČR  pol. 4213</t>
  </si>
  <si>
    <t>Dotace   UZ15835 EU  pol. 4213</t>
  </si>
  <si>
    <t>1314, 9314     6121</t>
  </si>
  <si>
    <t>3391</t>
  </si>
  <si>
    <t>3391   5229</t>
  </si>
  <si>
    <t>1306</t>
  </si>
  <si>
    <t>Snížení prašnosti (nákup čistícího vozu)   1306</t>
  </si>
  <si>
    <t xml:space="preserve">1306   6123 </t>
  </si>
  <si>
    <t>Nákup čistícího vozu    1306  rozp. položka   6123</t>
  </si>
  <si>
    <t>Příspěvek KČT - kompenzace 10% spoluúčasti projektu Rekonstrukce rozhledny Vlčí Hora  3391  rozp. položka  5229</t>
  </si>
  <si>
    <t>Snížení prašnosti (registrační list SFŽP akce nákup čistícího vozu)  1306   rozp. položka  2329</t>
  </si>
  <si>
    <t>7314</t>
  </si>
  <si>
    <t>Dotace Ve škole i odpoledne</t>
  </si>
  <si>
    <t xml:space="preserve">7314 Ve škole i odpoledne </t>
  </si>
  <si>
    <t>8376</t>
  </si>
  <si>
    <t>Dotace Volný čas s Kostkou  8376</t>
  </si>
  <si>
    <t>Dotace Volný čas s Kostkou  8376  rozp. položka 4122</t>
  </si>
  <si>
    <t>KOSTKA - Volný čas s Kostkou  8376</t>
  </si>
  <si>
    <t>Dotace Adaptační pobyt pro ZŠ Kr. Lípa   5314  rozp. položka  4122</t>
  </si>
  <si>
    <t>Dotace Ve škole i odpoledne  pro ZŠ Kr. Lípa    7314  rozp. položka  4122</t>
  </si>
  <si>
    <t>Ostatní neinv. výdaje  rozp. položky 5494, 5909, 5240,  5321 neinv.transf.obcím a p.o., AR, KP, VČ, PO, SAS, OS, AP,……..</t>
  </si>
  <si>
    <t>Střecha a související náklady v 1. MŠ     0311   rozp. položka 6121</t>
  </si>
  <si>
    <t>Dotace kanalizace Krásná Lípa 2. etapa</t>
  </si>
  <si>
    <t>Dotace UZ 15825, po. 4216</t>
  </si>
  <si>
    <t>Dotace UZ 90877, po. 4213</t>
  </si>
  <si>
    <t>Rozpočet na rok 2013   VÝDAJE ve znění 3. rozpočtového opatření/položky/ - bez financování</t>
  </si>
  <si>
    <t>Rozpočet na rok 2013 PŘÍJMY ve znění 4. rozpočtového opatření /položky/  -  bez HV</t>
  </si>
  <si>
    <t>Rozpočet města Krásné Lípy na rok 2013 ve znění 4. rozpočtového opatření   PŘÍJMY, Financování  /kapitoly/</t>
  </si>
  <si>
    <t>Rozpočet města Krásné Lípy na rok 2013 ve znění 4. rozpočtového opatření  VÝDAJE, Financování  /kapitoly/</t>
  </si>
  <si>
    <t xml:space="preserve">ve znění 4. rozpočtového opatření  - na jednotlivé akce </t>
  </si>
  <si>
    <t xml:space="preserve">ve znění 4. rozpočtového opatření  </t>
  </si>
  <si>
    <t>ve znění 4. rozpočtového opatření</t>
  </si>
  <si>
    <t xml:space="preserve">ve znění 4. rozpočtového opatření </t>
  </si>
  <si>
    <t>Okna v 2. NP Radnice a chodba (schodiště) a okna do zaseací místnosti vč. zateplení zasedací místnosti a souvisejících prací   0356   rozp. položka 6121</t>
  </si>
  <si>
    <r>
      <t xml:space="preserve">Dotace Energetické úspory u budov ŠJ a ŠD, nástroj 54- zdroj 5 EU uz </t>
    </r>
    <r>
      <rPr>
        <sz val="8"/>
        <color indexed="10"/>
        <rFont val="Arial CE"/>
        <family val="0"/>
      </rPr>
      <t>90909</t>
    </r>
  </si>
  <si>
    <r>
      <t xml:space="preserve">Dotace </t>
    </r>
    <r>
      <rPr>
        <sz val="10"/>
        <color indexed="10"/>
        <rFont val="Arial CE"/>
        <family val="0"/>
      </rPr>
      <t>uz 14022 pol 4122</t>
    </r>
  </si>
  <si>
    <t>Volby do Poslanecké sněmovny  0353   rozp. položka  4111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</si>
</sst>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</numFmts>
  <fonts count="7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11"/>
      <name val="Arial CE"/>
      <family val="0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color indexed="10"/>
      <name val="Times New Roman CE"/>
      <family val="1"/>
    </font>
    <font>
      <sz val="12"/>
      <color indexed="10"/>
      <name val="Arial CE"/>
      <family val="2"/>
    </font>
    <font>
      <b/>
      <sz val="24"/>
      <name val="Arial CE"/>
      <family val="2"/>
    </font>
    <font>
      <sz val="20"/>
      <name val="Arial CE"/>
      <family val="2"/>
    </font>
    <font>
      <b/>
      <sz val="28"/>
      <name val="Arial CE"/>
      <family val="0"/>
    </font>
    <font>
      <b/>
      <sz val="26"/>
      <name val="Arial CE"/>
      <family val="2"/>
    </font>
    <font>
      <i/>
      <sz val="18"/>
      <name val="Arial CE"/>
      <family val="0"/>
    </font>
    <font>
      <sz val="22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b/>
      <i/>
      <sz val="16"/>
      <name val="Arial CE"/>
      <family val="2"/>
    </font>
    <font>
      <sz val="22"/>
      <color indexed="10"/>
      <name val="Arial CE"/>
      <family val="0"/>
    </font>
    <font>
      <sz val="24"/>
      <name val="Arial CE"/>
      <family val="0"/>
    </font>
    <font>
      <sz val="8"/>
      <color indexed="10"/>
      <name val="Arial CE"/>
      <family val="0"/>
    </font>
    <font>
      <sz val="11"/>
      <color indexed="10"/>
      <name val="Arial CE"/>
      <family val="0"/>
    </font>
    <font>
      <sz val="8"/>
      <name val="Tahoma"/>
      <family val="2"/>
    </font>
    <font>
      <sz val="10"/>
      <color rgb="FFFF0000"/>
      <name val="Arial CE"/>
      <family val="0"/>
    </font>
    <font>
      <sz val="11"/>
      <color rgb="FFFF0000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9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double">
        <color indexed="8"/>
      </right>
      <top style="medium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double">
        <color indexed="8"/>
      </right>
      <top/>
      <bottom/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/>
      <right/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medium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/>
      <right style="medium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medium">
        <color indexed="8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medium">
        <color indexed="8"/>
      </right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ck">
        <color indexed="8"/>
      </top>
      <bottom style="medium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medium">
        <color indexed="8"/>
      </right>
      <top/>
      <bottom style="thin"/>
    </border>
    <border>
      <left/>
      <right style="thin">
        <color indexed="8"/>
      </right>
      <top/>
      <bottom style="thin"/>
    </border>
    <border>
      <left style="medium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medium">
        <color indexed="8"/>
      </right>
      <top style="double">
        <color indexed="8"/>
      </top>
      <bottom/>
    </border>
    <border>
      <left/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 style="medium">
        <color indexed="8"/>
      </left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/>
      <bottom style="thick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/>
    </border>
    <border>
      <left style="medium">
        <color indexed="8"/>
      </left>
      <right/>
      <top style="thick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0" fillId="0" borderId="0">
      <alignment/>
      <protection/>
    </xf>
    <xf numFmtId="0" fontId="2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64" fontId="0" fillId="0" borderId="0" applyFill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Alignment="0" applyProtection="0"/>
    <xf numFmtId="0" fontId="4" fillId="10" borderId="0" applyNumberFormat="0" applyBorder="0" applyAlignment="0" applyProtection="0"/>
    <xf numFmtId="0" fontId="5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</cellStyleXfs>
  <cellXfs count="10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8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0" fillId="0" borderId="0" xfId="4" applyNumberFormat="1" applyFont="1" applyFill="1" applyBorder="1" applyAlignment="1" applyProtection="1">
      <alignment/>
      <protection locked="0"/>
    </xf>
    <xf numFmtId="3" fontId="21" fillId="0" borderId="0" xfId="4" applyNumberFormat="1" applyFont="1" applyFill="1" applyBorder="1" applyAlignment="1" applyProtection="1">
      <alignment/>
      <protection/>
    </xf>
    <xf numFmtId="3" fontId="20" fillId="0" borderId="0" xfId="4" applyNumberFormat="1" applyFont="1" applyFill="1" applyBorder="1" applyAlignment="1" applyProtection="1">
      <alignment/>
      <protection/>
    </xf>
    <xf numFmtId="3" fontId="22" fillId="0" borderId="10" xfId="0" applyNumberFormat="1" applyFont="1" applyFill="1" applyBorder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/>
      <protection/>
    </xf>
    <xf numFmtId="3" fontId="23" fillId="0" borderId="12" xfId="2" applyNumberFormat="1" applyFont="1" applyFill="1" applyBorder="1" applyAlignment="1" applyProtection="1">
      <alignment horizontal="center"/>
      <protection/>
    </xf>
    <xf numFmtId="3" fontId="23" fillId="0" borderId="13" xfId="2" applyNumberFormat="1" applyFont="1" applyFill="1" applyBorder="1" applyAlignment="1" applyProtection="1">
      <alignment horizontal="center"/>
      <protection/>
    </xf>
    <xf numFmtId="0" fontId="22" fillId="0" borderId="11" xfId="4" applyNumberFormat="1" applyFont="1" applyFill="1" applyBorder="1" applyAlignment="1" applyProtection="1">
      <alignment horizontal="center"/>
      <protection locked="0"/>
    </xf>
    <xf numFmtId="0" fontId="20" fillId="0" borderId="14" xfId="4" applyNumberFormat="1" applyFont="1" applyFill="1" applyBorder="1" applyAlignment="1" applyProtection="1">
      <alignment horizontal="center"/>
      <protection locked="0"/>
    </xf>
    <xf numFmtId="0" fontId="20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2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2" fillId="0" borderId="14" xfId="0" applyNumberFormat="1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center"/>
      <protection/>
    </xf>
    <xf numFmtId="3" fontId="22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2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3" fillId="0" borderId="19" xfId="0" applyNumberFormat="1" applyFont="1" applyFill="1" applyBorder="1" applyAlignment="1" applyProtection="1">
      <alignment horizontal="center"/>
      <protection/>
    </xf>
    <xf numFmtId="3" fontId="22" fillId="0" borderId="11" xfId="4" applyNumberFormat="1" applyFont="1" applyFill="1" applyBorder="1" applyAlignment="1" applyProtection="1">
      <alignment horizontal="center"/>
      <protection/>
    </xf>
    <xf numFmtId="3" fontId="23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0" applyNumberFormat="1" applyFont="1" applyFill="1" applyBorder="1" applyAlignment="1" applyProtection="1">
      <alignment horizontal="center"/>
      <protection/>
    </xf>
    <xf numFmtId="3" fontId="23" fillId="0" borderId="17" xfId="0" applyNumberFormat="1" applyFont="1" applyFill="1" applyBorder="1" applyAlignment="1" applyProtection="1">
      <alignment horizontal="center"/>
      <protection locked="0"/>
    </xf>
    <xf numFmtId="3" fontId="23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3" fillId="0" borderId="21" xfId="2" applyNumberFormat="1" applyFont="1" applyFill="1" applyBorder="1" applyAlignment="1" applyProtection="1">
      <alignment horizontal="center"/>
      <protection/>
    </xf>
    <xf numFmtId="3" fontId="23" fillId="13" borderId="13" xfId="2" applyNumberFormat="1" applyFont="1" applyFill="1" applyBorder="1" applyAlignment="1" applyProtection="1">
      <alignment horizontal="center"/>
      <protection/>
    </xf>
    <xf numFmtId="0" fontId="20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5" fillId="0" borderId="23" xfId="0" applyNumberFormat="1" applyFont="1" applyFill="1" applyBorder="1" applyAlignment="1" applyProtection="1">
      <alignment horizontal="center"/>
      <protection locked="0"/>
    </xf>
    <xf numFmtId="0" fontId="23" fillId="0" borderId="23" xfId="4" applyNumberFormat="1" applyFont="1" applyFill="1" applyBorder="1" applyAlignment="1" applyProtection="1">
      <alignment horizontal="center"/>
      <protection/>
    </xf>
    <xf numFmtId="3" fontId="22" fillId="0" borderId="23" xfId="0" applyNumberFormat="1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3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3" fillId="0" borderId="24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center"/>
    </xf>
    <xf numFmtId="3" fontId="23" fillId="0" borderId="24" xfId="0" applyNumberFormat="1" applyFont="1" applyFill="1" applyBorder="1" applyAlignment="1" applyProtection="1">
      <alignment horizontal="center"/>
      <protection locked="0"/>
    </xf>
    <xf numFmtId="3" fontId="23" fillId="0" borderId="27" xfId="0" applyNumberFormat="1" applyFont="1" applyFill="1" applyBorder="1" applyAlignment="1">
      <alignment horizontal="center"/>
    </xf>
    <xf numFmtId="3" fontId="22" fillId="0" borderId="2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21" xfId="2" applyNumberFormat="1" applyFont="1" applyFill="1" applyBorder="1" applyAlignment="1" applyProtection="1">
      <alignment horizontal="center"/>
      <protection/>
    </xf>
    <xf numFmtId="3" fontId="23" fillId="13" borderId="13" xfId="2" applyNumberFormat="1" applyFont="1" applyFill="1" applyBorder="1" applyAlignment="1" applyProtection="1">
      <alignment horizontal="center"/>
      <protection/>
    </xf>
    <xf numFmtId="0" fontId="20" fillId="0" borderId="22" xfId="4" applyNumberFormat="1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0" fillId="0" borderId="23" xfId="4" applyNumberFormat="1" applyFont="1" applyFill="1" applyBorder="1" applyAlignment="1" applyProtection="1">
      <alignment horizontal="center"/>
      <protection locked="0"/>
    </xf>
    <xf numFmtId="3" fontId="2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49" fontId="20" fillId="0" borderId="23" xfId="0" applyNumberFormat="1" applyFont="1" applyFill="1" applyBorder="1" applyAlignment="1" applyProtection="1">
      <alignment horizontal="center"/>
      <protection locked="0"/>
    </xf>
    <xf numFmtId="3" fontId="20" fillId="0" borderId="23" xfId="0" applyNumberFormat="1" applyFont="1" applyFill="1" applyBorder="1" applyAlignment="1" applyProtection="1">
      <alignment horizontal="left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23" fillId="0" borderId="27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0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0" fillId="0" borderId="24" xfId="4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horizontal="center"/>
      <protection locked="0"/>
    </xf>
    <xf numFmtId="3" fontId="20" fillId="0" borderId="24" xfId="0" applyNumberFormat="1" applyFont="1" applyFill="1" applyBorder="1" applyAlignment="1" applyProtection="1">
      <alignment horizontal="center"/>
      <protection locked="0"/>
    </xf>
    <xf numFmtId="3" fontId="20" fillId="0" borderId="25" xfId="0" applyNumberFormat="1" applyFont="1" applyFill="1" applyBorder="1" applyAlignment="1" applyProtection="1">
      <alignment horizontal="center"/>
      <protection locked="0"/>
    </xf>
    <xf numFmtId="3" fontId="20" fillId="0" borderId="26" xfId="0" applyNumberFormat="1" applyFont="1" applyFill="1" applyBorder="1" applyAlignment="1" applyProtection="1">
      <alignment horizontal="center"/>
      <protection/>
    </xf>
    <xf numFmtId="3" fontId="20" fillId="0" borderId="0" xfId="4" applyNumberFormat="1" applyFont="1" applyFill="1" applyBorder="1" applyAlignment="1" applyProtection="1">
      <alignment horizontal="center"/>
      <protection/>
    </xf>
    <xf numFmtId="3" fontId="20" fillId="0" borderId="23" xfId="0" applyNumberFormat="1" applyFont="1" applyFill="1" applyBorder="1" applyAlignment="1" applyProtection="1">
      <alignment horizontal="center"/>
      <protection/>
    </xf>
    <xf numFmtId="3" fontId="20" fillId="0" borderId="24" xfId="0" applyNumberFormat="1" applyFont="1" applyFill="1" applyBorder="1" applyAlignment="1" applyProtection="1">
      <alignment horizontal="center"/>
      <protection/>
    </xf>
    <xf numFmtId="3" fontId="20" fillId="0" borderId="27" xfId="0" applyNumberFormat="1" applyFont="1" applyFill="1" applyBorder="1" applyAlignment="1" applyProtection="1">
      <alignment horizontal="center"/>
      <protection/>
    </xf>
    <xf numFmtId="3" fontId="23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3" fillId="0" borderId="2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3" fontId="23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3" fillId="0" borderId="24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27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3" fillId="0" borderId="28" xfId="0" applyFont="1" applyFill="1" applyBorder="1" applyAlignment="1" applyProtection="1">
      <alignment/>
      <protection/>
    </xf>
    <xf numFmtId="0" fontId="23" fillId="0" borderId="29" xfId="0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3" fillId="0" borderId="3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3" fillId="6" borderId="31" xfId="1" applyNumberFormat="1" applyFont="1" applyFill="1" applyBorder="1" applyAlignment="1" applyProtection="1">
      <alignment/>
      <protection/>
    </xf>
    <xf numFmtId="3" fontId="23" fillId="6" borderId="32" xfId="1" applyNumberFormat="1" applyFont="1" applyFill="1" applyBorder="1" applyAlignment="1" applyProtection="1">
      <alignment/>
      <protection/>
    </xf>
    <xf numFmtId="3" fontId="23" fillId="6" borderId="33" xfId="4" applyNumberFormat="1" applyFont="1" applyFill="1" applyBorder="1" applyAlignment="1" applyProtection="1">
      <alignment/>
      <protection/>
    </xf>
    <xf numFmtId="3" fontId="23" fillId="6" borderId="34" xfId="1" applyNumberFormat="1" applyFont="1" applyFill="1" applyBorder="1" applyAlignment="1" applyProtection="1">
      <alignment/>
      <protection/>
    </xf>
    <xf numFmtId="3" fontId="23" fillId="6" borderId="35" xfId="0" applyNumberFormat="1" applyFont="1" applyFill="1" applyBorder="1" applyAlignment="1" applyProtection="1">
      <alignment/>
      <protection/>
    </xf>
    <xf numFmtId="3" fontId="23" fillId="6" borderId="36" xfId="1" applyNumberFormat="1" applyFont="1" applyFill="1" applyBorder="1" applyAlignment="1" applyProtection="1">
      <alignment/>
      <protection/>
    </xf>
    <xf numFmtId="3" fontId="23" fillId="6" borderId="35" xfId="1" applyNumberFormat="1" applyFont="1" applyFill="1" applyBorder="1" applyAlignment="1" applyProtection="1">
      <alignment/>
      <protection/>
    </xf>
    <xf numFmtId="3" fontId="23" fillId="6" borderId="37" xfId="1" applyNumberFormat="1" applyFont="1" applyFill="1" applyBorder="1" applyAlignment="1" applyProtection="1">
      <alignment/>
      <protection/>
    </xf>
    <xf numFmtId="3" fontId="23" fillId="6" borderId="3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3" fillId="6" borderId="39" xfId="1" applyNumberFormat="1" applyFont="1" applyFill="1" applyBorder="1" applyAlignment="1" applyProtection="1">
      <alignment/>
      <protection/>
    </xf>
    <xf numFmtId="3" fontId="23" fillId="6" borderId="4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3" xfId="4" applyNumberFormat="1" applyFont="1" applyFill="1" applyBorder="1" applyAlignment="1" applyProtection="1">
      <alignment/>
      <protection/>
    </xf>
    <xf numFmtId="3" fontId="0" fillId="0" borderId="41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7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1" xfId="4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23" fillId="6" borderId="53" xfId="1" applyNumberFormat="1" applyFont="1" applyFill="1" applyBorder="1" applyAlignment="1" applyProtection="1">
      <alignment/>
      <protection/>
    </xf>
    <xf numFmtId="3" fontId="23" fillId="6" borderId="54" xfId="1" applyNumberFormat="1" applyFont="1" applyFill="1" applyBorder="1" applyAlignment="1" applyProtection="1">
      <alignment/>
      <protection/>
    </xf>
    <xf numFmtId="3" fontId="23" fillId="6" borderId="41" xfId="1" applyNumberFormat="1" applyFont="1" applyFill="1" applyBorder="1" applyAlignment="1" applyProtection="1">
      <alignment/>
      <protection/>
    </xf>
    <xf numFmtId="3" fontId="23" fillId="6" borderId="51" xfId="0" applyNumberFormat="1" applyFont="1" applyFill="1" applyBorder="1" applyAlignment="1" applyProtection="1">
      <alignment/>
      <protection/>
    </xf>
    <xf numFmtId="3" fontId="23" fillId="6" borderId="43" xfId="1" applyNumberFormat="1" applyFont="1" applyFill="1" applyBorder="1" applyAlignment="1" applyProtection="1">
      <alignment/>
      <protection/>
    </xf>
    <xf numFmtId="3" fontId="23" fillId="6" borderId="51" xfId="1" applyNumberFormat="1" applyFont="1" applyFill="1" applyBorder="1" applyAlignment="1" applyProtection="1">
      <alignment/>
      <protection/>
    </xf>
    <xf numFmtId="3" fontId="23" fillId="6" borderId="44" xfId="1" applyNumberFormat="1" applyFont="1" applyFill="1" applyBorder="1" applyAlignment="1" applyProtection="1">
      <alignment/>
      <protection/>
    </xf>
    <xf numFmtId="3" fontId="23" fillId="6" borderId="46" xfId="1" applyNumberFormat="1" applyFont="1" applyFill="1" applyBorder="1" applyAlignment="1" applyProtection="1">
      <alignment/>
      <protection/>
    </xf>
    <xf numFmtId="3" fontId="23" fillId="6" borderId="47" xfId="1" applyNumberFormat="1" applyFont="1" applyFill="1" applyBorder="1" applyAlignment="1" applyProtection="1">
      <alignment/>
      <protection/>
    </xf>
    <xf numFmtId="3" fontId="23" fillId="6" borderId="55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1" xfId="4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25" fillId="0" borderId="0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3" fillId="6" borderId="65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4" applyNumberFormat="1" applyFont="1" applyFill="1" applyBorder="1" applyAlignment="1" applyProtection="1">
      <alignment/>
      <protection locked="0"/>
    </xf>
    <xf numFmtId="3" fontId="0" fillId="0" borderId="76" xfId="4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4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80" xfId="0" applyFont="1" applyBorder="1" applyAlignment="1">
      <alignment/>
    </xf>
    <xf numFmtId="3" fontId="0" fillId="0" borderId="82" xfId="0" applyNumberFormat="1" applyFont="1" applyBorder="1" applyAlignment="1">
      <alignment/>
    </xf>
    <xf numFmtId="3" fontId="0" fillId="0" borderId="89" xfId="0" applyNumberFormat="1" applyFont="1" applyBorder="1" applyAlignment="1">
      <alignment/>
    </xf>
    <xf numFmtId="0" fontId="0" fillId="0" borderId="8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29" fillId="13" borderId="0" xfId="0" applyNumberFormat="1" applyFont="1" applyFill="1" applyBorder="1" applyAlignment="1" applyProtection="1">
      <alignment/>
      <protection/>
    </xf>
    <xf numFmtId="0" fontId="19" fillId="13" borderId="0" xfId="0" applyFont="1" applyFill="1" applyBorder="1" applyAlignment="1" applyProtection="1">
      <alignment/>
      <protection/>
    </xf>
    <xf numFmtId="3" fontId="29" fillId="13" borderId="0" xfId="2" applyNumberFormat="1" applyFont="1" applyFill="1" applyBorder="1" applyAlignment="1" applyProtection="1">
      <alignment/>
      <protection/>
    </xf>
    <xf numFmtId="3" fontId="19" fillId="13" borderId="0" xfId="0" applyNumberFormat="1" applyFont="1" applyFill="1" applyBorder="1" applyAlignment="1" applyProtection="1">
      <alignment/>
      <protection/>
    </xf>
    <xf numFmtId="3" fontId="18" fillId="13" borderId="0" xfId="2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24" fillId="13" borderId="20" xfId="0" applyFont="1" applyFill="1" applyBorder="1" applyAlignment="1" applyProtection="1">
      <alignment/>
      <protection/>
    </xf>
    <xf numFmtId="0" fontId="33" fillId="13" borderId="0" xfId="0" applyFont="1" applyFill="1" applyBorder="1" applyAlignment="1">
      <alignment horizontal="center"/>
    </xf>
    <xf numFmtId="0" fontId="24" fillId="13" borderId="0" xfId="0" applyFont="1" applyFill="1" applyBorder="1" applyAlignment="1" applyProtection="1">
      <alignment/>
      <protection/>
    </xf>
    <xf numFmtId="0" fontId="34" fillId="13" borderId="20" xfId="0" applyFont="1" applyFill="1" applyBorder="1" applyAlignment="1" applyProtection="1">
      <alignment/>
      <protection/>
    </xf>
    <xf numFmtId="0" fontId="32" fillId="13" borderId="0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0" fontId="18" fillId="13" borderId="0" xfId="1" applyNumberFormat="1" applyFont="1" applyFill="1" applyBorder="1" applyAlignment="1" applyProtection="1">
      <alignment/>
      <protection/>
    </xf>
    <xf numFmtId="0" fontId="35" fillId="13" borderId="0" xfId="1" applyNumberFormat="1" applyFont="1" applyFill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1" fillId="0" borderId="20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9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5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8" fillId="6" borderId="12" xfId="0" applyFont="1" applyFill="1" applyBorder="1" applyAlignment="1">
      <alignment/>
    </xf>
    <xf numFmtId="0" fontId="38" fillId="6" borderId="12" xfId="0" applyFont="1" applyFill="1" applyBorder="1" applyAlignment="1">
      <alignment wrapText="1"/>
    </xf>
    <xf numFmtId="0" fontId="38" fillId="6" borderId="90" xfId="0" applyFont="1" applyFill="1" applyBorder="1" applyAlignment="1">
      <alignment/>
    </xf>
    <xf numFmtId="0" fontId="38" fillId="6" borderId="91" xfId="0" applyFont="1" applyFill="1" applyBorder="1" applyAlignment="1">
      <alignment/>
    </xf>
    <xf numFmtId="49" fontId="38" fillId="6" borderId="90" xfId="0" applyNumberFormat="1" applyFont="1" applyFill="1" applyBorder="1" applyAlignment="1">
      <alignment wrapText="1"/>
    </xf>
    <xf numFmtId="0" fontId="38" fillId="6" borderId="90" xfId="0" applyFont="1" applyFill="1" applyBorder="1" applyAlignment="1">
      <alignment wrapText="1"/>
    </xf>
    <xf numFmtId="49" fontId="39" fillId="0" borderId="92" xfId="0" applyNumberFormat="1" applyFont="1" applyBorder="1" applyAlignment="1">
      <alignment horizontal="center"/>
    </xf>
    <xf numFmtId="3" fontId="40" fillId="2" borderId="93" xfId="0" applyNumberFormat="1" applyFont="1" applyFill="1" applyBorder="1" applyAlignment="1">
      <alignment horizontal="right"/>
    </xf>
    <xf numFmtId="3" fontId="40" fillId="2" borderId="94" xfId="0" applyNumberFormat="1" applyFont="1" applyFill="1" applyBorder="1" applyAlignment="1">
      <alignment horizontal="right"/>
    </xf>
    <xf numFmtId="49" fontId="38" fillId="6" borderId="95" xfId="0" applyNumberFormat="1" applyFont="1" applyFill="1" applyBorder="1" applyAlignment="1">
      <alignment horizontal="center"/>
    </xf>
    <xf numFmtId="0" fontId="42" fillId="6" borderId="45" xfId="0" applyFont="1" applyFill="1" applyBorder="1" applyAlignment="1">
      <alignment/>
    </xf>
    <xf numFmtId="3" fontId="43" fillId="2" borderId="96" xfId="0" applyNumberFormat="1" applyFont="1" applyFill="1" applyBorder="1" applyAlignment="1">
      <alignment/>
    </xf>
    <xf numFmtId="49" fontId="23" fillId="0" borderId="97" xfId="0" applyNumberFormat="1" applyFont="1" applyBorder="1" applyAlignment="1">
      <alignment horizontal="center"/>
    </xf>
    <xf numFmtId="0" fontId="0" fillId="0" borderId="98" xfId="0" applyFont="1" applyBorder="1" applyAlignment="1">
      <alignment/>
    </xf>
    <xf numFmtId="3" fontId="44" fillId="2" borderId="94" xfId="0" applyNumberFormat="1" applyFont="1" applyFill="1" applyBorder="1" applyAlignment="1">
      <alignment/>
    </xf>
    <xf numFmtId="49" fontId="37" fillId="0" borderId="99" xfId="0" applyNumberFormat="1" applyFont="1" applyBorder="1" applyAlignment="1">
      <alignment horizontal="center"/>
    </xf>
    <xf numFmtId="0" fontId="0" fillId="0" borderId="100" xfId="0" applyFont="1" applyBorder="1" applyAlignment="1">
      <alignment/>
    </xf>
    <xf numFmtId="3" fontId="43" fillId="2" borderId="101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6" borderId="12" xfId="0" applyFont="1" applyFill="1" applyBorder="1" applyAlignment="1">
      <alignment wrapText="1"/>
    </xf>
    <xf numFmtId="0" fontId="47" fillId="6" borderId="90" xfId="0" applyFont="1" applyFill="1" applyBorder="1" applyAlignment="1">
      <alignment wrapText="1"/>
    </xf>
    <xf numFmtId="49" fontId="43" fillId="0" borderId="102" xfId="0" applyNumberFormat="1" applyFont="1" applyBorder="1" applyAlignment="1">
      <alignment horizontal="center"/>
    </xf>
    <xf numFmtId="3" fontId="38" fillId="6" borderId="103" xfId="0" applyNumberFormat="1" applyFont="1" applyFill="1" applyBorder="1" applyAlignment="1">
      <alignment/>
    </xf>
    <xf numFmtId="0" fontId="49" fillId="0" borderId="24" xfId="0" applyFont="1" applyBorder="1" applyAlignment="1">
      <alignment horizontal="left"/>
    </xf>
    <xf numFmtId="3" fontId="44" fillId="0" borderId="21" xfId="0" applyNumberFormat="1" applyFont="1" applyBorder="1" applyAlignment="1">
      <alignment/>
    </xf>
    <xf numFmtId="0" fontId="49" fillId="6" borderId="45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42" fillId="6" borderId="45" xfId="0" applyFont="1" applyFill="1" applyBorder="1" applyAlignment="1">
      <alignment horizontal="left"/>
    </xf>
    <xf numFmtId="0" fontId="42" fillId="13" borderId="45" xfId="0" applyFont="1" applyFill="1" applyBorder="1" applyAlignment="1">
      <alignment horizontal="left"/>
    </xf>
    <xf numFmtId="3" fontId="38" fillId="13" borderId="103" xfId="0" applyNumberFormat="1" applyFont="1" applyFill="1" applyBorder="1" applyAlignment="1">
      <alignment/>
    </xf>
    <xf numFmtId="49" fontId="23" fillId="0" borderId="95" xfId="0" applyNumberFormat="1" applyFont="1" applyBorder="1" applyAlignment="1">
      <alignment horizontal="center"/>
    </xf>
    <xf numFmtId="49" fontId="23" fillId="13" borderId="104" xfId="0" applyNumberFormat="1" applyFont="1" applyFill="1" applyBorder="1" applyAlignment="1">
      <alignment horizontal="center"/>
    </xf>
    <xf numFmtId="49" fontId="23" fillId="13" borderId="20" xfId="0" applyNumberFormat="1" applyFont="1" applyFill="1" applyBorder="1" applyAlignment="1">
      <alignment horizontal="center"/>
    </xf>
    <xf numFmtId="0" fontId="42" fillId="13" borderId="0" xfId="0" applyFont="1" applyFill="1" applyBorder="1" applyAlignment="1">
      <alignment horizontal="left"/>
    </xf>
    <xf numFmtId="3" fontId="38" fillId="13" borderId="21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38" fillId="13" borderId="20" xfId="0" applyNumberFormat="1" applyFont="1" applyFill="1" applyBorder="1" applyAlignment="1">
      <alignment horizontal="center"/>
    </xf>
    <xf numFmtId="49" fontId="37" fillId="6" borderId="99" xfId="0" applyNumberFormat="1" applyFont="1" applyFill="1" applyBorder="1" applyAlignment="1">
      <alignment horizontal="center"/>
    </xf>
    <xf numFmtId="49" fontId="37" fillId="6" borderId="105" xfId="0" applyNumberFormat="1" applyFont="1" applyFill="1" applyBorder="1" applyAlignment="1">
      <alignment horizontal="center"/>
    </xf>
    <xf numFmtId="3" fontId="52" fillId="6" borderId="3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3" fillId="6" borderId="12" xfId="0" applyFont="1" applyFill="1" applyBorder="1" applyAlignment="1">
      <alignment/>
    </xf>
    <xf numFmtId="0" fontId="23" fillId="6" borderId="12" xfId="0" applyFont="1" applyFill="1" applyBorder="1" applyAlignment="1">
      <alignment horizontal="center"/>
    </xf>
    <xf numFmtId="49" fontId="28" fillId="6" borderId="12" xfId="0" applyNumberFormat="1" applyFont="1" applyFill="1" applyBorder="1" applyAlignment="1">
      <alignment horizontal="center"/>
    </xf>
    <xf numFmtId="0" fontId="23" fillId="6" borderId="90" xfId="0" applyFont="1" applyFill="1" applyBorder="1" applyAlignment="1">
      <alignment/>
    </xf>
    <xf numFmtId="49" fontId="23" fillId="6" borderId="90" xfId="0" applyNumberFormat="1" applyFont="1" applyFill="1" applyBorder="1" applyAlignment="1">
      <alignment horizontal="center"/>
    </xf>
    <xf numFmtId="49" fontId="28" fillId="6" borderId="90" xfId="0" applyNumberFormat="1" applyFont="1" applyFill="1" applyBorder="1" applyAlignment="1">
      <alignment horizontal="center"/>
    </xf>
    <xf numFmtId="49" fontId="0" fillId="13" borderId="69" xfId="48" applyNumberFormat="1" applyFont="1" applyFill="1" applyBorder="1" applyAlignment="1" applyProtection="1">
      <alignment horizontal="center"/>
      <protection/>
    </xf>
    <xf numFmtId="0" fontId="0" fillId="13" borderId="93" xfId="0" applyFont="1" applyFill="1" applyBorder="1" applyAlignment="1">
      <alignment/>
    </xf>
    <xf numFmtId="3" fontId="0" fillId="13" borderId="92" xfId="0" applyNumberFormat="1" applyFont="1" applyFill="1" applyBorder="1" applyAlignment="1">
      <alignment horizontal="left"/>
    </xf>
    <xf numFmtId="3" fontId="0" fillId="13" borderId="97" xfId="0" applyNumberFormat="1" applyFont="1" applyFill="1" applyBorder="1" applyAlignment="1">
      <alignment horizontal="left"/>
    </xf>
    <xf numFmtId="0" fontId="0" fillId="13" borderId="97" xfId="0" applyFont="1" applyFill="1" applyBorder="1" applyAlignment="1">
      <alignment/>
    </xf>
    <xf numFmtId="0" fontId="0" fillId="13" borderId="96" xfId="0" applyFont="1" applyFill="1" applyBorder="1" applyAlignment="1">
      <alignment/>
    </xf>
    <xf numFmtId="49" fontId="0" fillId="13" borderId="88" xfId="48" applyNumberFormat="1" applyFont="1" applyFill="1" applyBorder="1" applyAlignment="1" applyProtection="1">
      <alignment horizontal="center"/>
      <protection/>
    </xf>
    <xf numFmtId="0" fontId="23" fillId="6" borderId="33" xfId="0" applyFont="1" applyFill="1" applyBorder="1" applyAlignment="1">
      <alignment/>
    </xf>
    <xf numFmtId="49" fontId="28" fillId="6" borderId="105" xfId="48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3" fillId="6" borderId="14" xfId="0" applyNumberFormat="1" applyFont="1" applyFill="1" applyBorder="1" applyAlignment="1">
      <alignment horizontal="center"/>
    </xf>
    <xf numFmtId="0" fontId="23" fillId="6" borderId="106" xfId="0" applyFont="1" applyFill="1" applyBorder="1" applyAlignment="1">
      <alignment/>
    </xf>
    <xf numFmtId="49" fontId="23" fillId="6" borderId="107" xfId="0" applyNumberFormat="1" applyFont="1" applyFill="1" applyBorder="1" applyAlignment="1">
      <alignment horizontal="center"/>
    </xf>
    <xf numFmtId="0" fontId="23" fillId="6" borderId="91" xfId="0" applyFont="1" applyFill="1" applyBorder="1" applyAlignment="1">
      <alignment/>
    </xf>
    <xf numFmtId="0" fontId="0" fillId="13" borderId="108" xfId="0" applyFont="1" applyFill="1" applyBorder="1" applyAlignment="1">
      <alignment/>
    </xf>
    <xf numFmtId="49" fontId="0" fillId="0" borderId="109" xfId="0" applyNumberFormat="1" applyFont="1" applyBorder="1" applyAlignment="1">
      <alignment horizontal="center"/>
    </xf>
    <xf numFmtId="0" fontId="0" fillId="13" borderId="92" xfId="0" applyFont="1" applyFill="1" applyBorder="1" applyAlignment="1">
      <alignment/>
    </xf>
    <xf numFmtId="49" fontId="0" fillId="0" borderId="66" xfId="0" applyNumberFormat="1" applyFont="1" applyBorder="1" applyAlignment="1">
      <alignment horizontal="center"/>
    </xf>
    <xf numFmtId="0" fontId="0" fillId="13" borderId="110" xfId="0" applyFont="1" applyFill="1" applyBorder="1" applyAlignment="1">
      <alignment/>
    </xf>
    <xf numFmtId="49" fontId="0" fillId="0" borderId="69" xfId="0" applyNumberFormat="1" applyFont="1" applyBorder="1" applyAlignment="1">
      <alignment horizontal="center"/>
    </xf>
    <xf numFmtId="0" fontId="0" fillId="13" borderId="111" xfId="0" applyFont="1" applyFill="1" applyBorder="1" applyAlignment="1">
      <alignment/>
    </xf>
    <xf numFmtId="49" fontId="0" fillId="6" borderId="112" xfId="0" applyNumberFormat="1" applyFont="1" applyFill="1" applyBorder="1" applyAlignment="1">
      <alignment horizontal="center"/>
    </xf>
    <xf numFmtId="0" fontId="23" fillId="6" borderId="105" xfId="0" applyFont="1" applyFill="1" applyBorder="1" applyAlignment="1">
      <alignment/>
    </xf>
    <xf numFmtId="3" fontId="0" fillId="0" borderId="0" xfId="0" applyNumberFormat="1" applyAlignment="1">
      <alignment/>
    </xf>
    <xf numFmtId="3" fontId="29" fillId="0" borderId="0" xfId="0" applyNumberFormat="1" applyFont="1" applyBorder="1" applyAlignment="1">
      <alignment/>
    </xf>
    <xf numFmtId="0" fontId="0" fillId="13" borderId="113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106" xfId="0" applyFont="1" applyFill="1" applyBorder="1" applyAlignment="1">
      <alignment/>
    </xf>
    <xf numFmtId="49" fontId="0" fillId="13" borderId="68" xfId="48" applyNumberFormat="1" applyFont="1" applyFill="1" applyBorder="1" applyAlignment="1" applyProtection="1">
      <alignment horizontal="center"/>
      <protection/>
    </xf>
    <xf numFmtId="49" fontId="0" fillId="13" borderId="42" xfId="48" applyNumberFormat="1" applyFont="1" applyFill="1" applyBorder="1" applyAlignment="1" applyProtection="1">
      <alignment horizontal="center"/>
      <protection/>
    </xf>
    <xf numFmtId="0" fontId="0" fillId="13" borderId="114" xfId="0" applyFont="1" applyFill="1" applyBorder="1" applyAlignment="1">
      <alignment/>
    </xf>
    <xf numFmtId="0" fontId="0" fillId="13" borderId="115" xfId="0" applyFont="1" applyFill="1" applyBorder="1" applyAlignment="1">
      <alignment/>
    </xf>
    <xf numFmtId="0" fontId="23" fillId="0" borderId="0" xfId="0" applyFont="1" applyBorder="1" applyAlignment="1">
      <alignment/>
    </xf>
    <xf numFmtId="49" fontId="28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16" xfId="48" applyNumberFormat="1" applyFont="1" applyFill="1" applyBorder="1" applyAlignment="1" applyProtection="1">
      <alignment horizontal="center"/>
      <protection/>
    </xf>
    <xf numFmtId="0" fontId="0" fillId="13" borderId="110" xfId="0" applyFont="1" applyFill="1" applyBorder="1" applyAlignment="1">
      <alignment/>
    </xf>
    <xf numFmtId="0" fontId="0" fillId="13" borderId="96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8" fillId="6" borderId="33" xfId="48" applyNumberFormat="1" applyFont="1" applyFill="1" applyBorder="1" applyAlignment="1" applyProtection="1">
      <alignment horizontal="center"/>
      <protection/>
    </xf>
    <xf numFmtId="49" fontId="28" fillId="13" borderId="0" xfId="0" applyNumberFormat="1" applyFont="1" applyFill="1" applyBorder="1" applyAlignment="1">
      <alignment horizontal="center"/>
    </xf>
    <xf numFmtId="49" fontId="0" fillId="13" borderId="118" xfId="48" applyNumberFormat="1" applyFont="1" applyFill="1" applyBorder="1" applyAlignment="1" applyProtection="1">
      <alignment horizontal="center"/>
      <protection/>
    </xf>
    <xf numFmtId="0" fontId="0" fillId="13" borderId="119" xfId="0" applyFont="1" applyFill="1" applyBorder="1" applyAlignment="1">
      <alignment/>
    </xf>
    <xf numFmtId="49" fontId="0" fillId="13" borderId="109" xfId="48" applyNumberFormat="1" applyFont="1" applyFill="1" applyBorder="1" applyAlignment="1" applyProtection="1">
      <alignment horizontal="center"/>
      <protection/>
    </xf>
    <xf numFmtId="49" fontId="0" fillId="13" borderId="66" xfId="48" applyNumberFormat="1" applyFont="1" applyFill="1" applyBorder="1" applyAlignment="1" applyProtection="1">
      <alignment horizontal="center"/>
      <protection/>
    </xf>
    <xf numFmtId="0" fontId="24" fillId="0" borderId="96" xfId="0" applyFont="1" applyBorder="1" applyAlignment="1">
      <alignment/>
    </xf>
    <xf numFmtId="0" fontId="0" fillId="13" borderId="117" xfId="0" applyFont="1" applyFill="1" applyBorder="1" applyAlignment="1">
      <alignment/>
    </xf>
    <xf numFmtId="9" fontId="24" fillId="0" borderId="96" xfId="48" applyFont="1" applyFill="1" applyBorder="1" applyAlignment="1" applyProtection="1">
      <alignment/>
      <protection/>
    </xf>
    <xf numFmtId="0" fontId="0" fillId="13" borderId="93" xfId="0" applyFont="1" applyFill="1" applyBorder="1" applyAlignment="1">
      <alignment/>
    </xf>
    <xf numFmtId="0" fontId="0" fillId="13" borderId="92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4" fillId="0" borderId="96" xfId="0" applyNumberFormat="1" applyFont="1" applyFill="1" applyBorder="1" applyAlignment="1" applyProtection="1">
      <alignment/>
      <protection/>
    </xf>
    <xf numFmtId="0" fontId="23" fillId="13" borderId="0" xfId="0" applyFont="1" applyFill="1" applyBorder="1" applyAlignment="1">
      <alignment/>
    </xf>
    <xf numFmtId="0" fontId="0" fillId="13" borderId="119" xfId="0" applyFont="1" applyFill="1" applyBorder="1" applyAlignment="1">
      <alignment/>
    </xf>
    <xf numFmtId="3" fontId="24" fillId="0" borderId="117" xfId="0" applyNumberFormat="1" applyFont="1" applyFill="1" applyBorder="1" applyAlignment="1" applyProtection="1">
      <alignment/>
      <protection/>
    </xf>
    <xf numFmtId="0" fontId="23" fillId="13" borderId="11" xfId="0" applyFont="1" applyFill="1" applyBorder="1" applyAlignment="1">
      <alignment/>
    </xf>
    <xf numFmtId="49" fontId="28" fillId="13" borderId="11" xfId="48" applyNumberFormat="1" applyFont="1" applyFill="1" applyBorder="1" applyAlignment="1" applyProtection="1">
      <alignment horizontal="center"/>
      <protection/>
    </xf>
    <xf numFmtId="49" fontId="0" fillId="13" borderId="45" xfId="48" applyNumberFormat="1" applyFont="1" applyFill="1" applyBorder="1" applyAlignment="1" applyProtection="1">
      <alignment horizontal="center"/>
      <protection/>
    </xf>
    <xf numFmtId="9" fontId="24" fillId="0" borderId="110" xfId="48" applyFont="1" applyFill="1" applyBorder="1" applyAlignment="1" applyProtection="1">
      <alignment/>
      <protection/>
    </xf>
    <xf numFmtId="0" fontId="0" fillId="13" borderId="102" xfId="0" applyFont="1" applyFill="1" applyBorder="1" applyAlignment="1">
      <alignment/>
    </xf>
    <xf numFmtId="3" fontId="24" fillId="0" borderId="110" xfId="0" applyNumberFormat="1" applyFont="1" applyFill="1" applyBorder="1" applyAlignment="1" applyProtection="1">
      <alignment/>
      <protection/>
    </xf>
    <xf numFmtId="0" fontId="24" fillId="13" borderId="96" xfId="0" applyFont="1" applyFill="1" applyBorder="1" applyAlignment="1">
      <alignment/>
    </xf>
    <xf numFmtId="0" fontId="24" fillId="13" borderId="93" xfId="0" applyFont="1" applyFill="1" applyBorder="1" applyAlignment="1">
      <alignment/>
    </xf>
    <xf numFmtId="0" fontId="25" fillId="13" borderId="93" xfId="0" applyFont="1" applyFill="1" applyBorder="1" applyAlignment="1">
      <alignment/>
    </xf>
    <xf numFmtId="0" fontId="0" fillId="13" borderId="94" xfId="0" applyFont="1" applyFill="1" applyBorder="1" applyAlignment="1">
      <alignment/>
    </xf>
    <xf numFmtId="4" fontId="28" fillId="13" borderId="0" xfId="0" applyNumberFormat="1" applyFont="1" applyFill="1" applyBorder="1" applyAlignment="1">
      <alignment horizontal="center"/>
    </xf>
    <xf numFmtId="49" fontId="28" fillId="13" borderId="0" xfId="48" applyNumberFormat="1" applyFont="1" applyFill="1" applyBorder="1" applyAlignment="1" applyProtection="1">
      <alignment horizontal="center"/>
      <protection/>
    </xf>
    <xf numFmtId="0" fontId="37" fillId="0" borderId="0" xfId="0" applyFont="1" applyBorder="1" applyAlignment="1">
      <alignment/>
    </xf>
    <xf numFmtId="9" fontId="0" fillId="13" borderId="96" xfId="48" applyFont="1" applyFill="1" applyBorder="1" applyAlignment="1" applyProtection="1">
      <alignment/>
      <protection/>
    </xf>
    <xf numFmtId="0" fontId="42" fillId="13" borderId="92" xfId="0" applyFont="1" applyFill="1" applyBorder="1" applyAlignment="1">
      <alignment/>
    </xf>
    <xf numFmtId="0" fontId="42" fillId="13" borderId="97" xfId="0" applyFont="1" applyFill="1" applyBorder="1" applyAlignment="1">
      <alignment/>
    </xf>
    <xf numFmtId="0" fontId="48" fillId="6" borderId="33" xfId="0" applyFont="1" applyFill="1" applyBorder="1" applyAlignment="1">
      <alignment/>
    </xf>
    <xf numFmtId="0" fontId="0" fillId="6" borderId="105" xfId="0" applyFont="1" applyFill="1" applyBorder="1" applyAlignment="1">
      <alignment/>
    </xf>
    <xf numFmtId="0" fontId="48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center"/>
    </xf>
    <xf numFmtId="49" fontId="23" fillId="6" borderId="12" xfId="0" applyNumberFormat="1" applyFont="1" applyFill="1" applyBorder="1" applyAlignment="1">
      <alignment horizontal="center"/>
    </xf>
    <xf numFmtId="3" fontId="0" fillId="13" borderId="96" xfId="0" applyNumberFormat="1" applyFont="1" applyFill="1" applyBorder="1" applyAlignment="1" applyProtection="1">
      <alignment/>
      <protection/>
    </xf>
    <xf numFmtId="0" fontId="23" fillId="6" borderId="99" xfId="0" applyFont="1" applyFill="1" applyBorder="1" applyAlignment="1">
      <alignment/>
    </xf>
    <xf numFmtId="3" fontId="23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96" xfId="0" applyNumberFormat="1" applyFont="1" applyFill="1" applyBorder="1" applyAlignment="1" applyProtection="1">
      <alignment/>
      <protection/>
    </xf>
    <xf numFmtId="0" fontId="23" fillId="6" borderId="28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4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6" borderId="120" xfId="0" applyFont="1" applyFill="1" applyBorder="1" applyAlignment="1">
      <alignment/>
    </xf>
    <xf numFmtId="0" fontId="0" fillId="13" borderId="102" xfId="0" applyFont="1" applyFill="1" applyBorder="1" applyAlignment="1">
      <alignment horizontal="left"/>
    </xf>
    <xf numFmtId="3" fontId="23" fillId="0" borderId="0" xfId="36" applyNumberFormat="1" applyFont="1" applyFill="1" applyBorder="1" applyAlignment="1" applyProtection="1">
      <alignment horizontal="center"/>
      <protection/>
    </xf>
    <xf numFmtId="0" fontId="23" fillId="13" borderId="10" xfId="0" applyFont="1" applyFill="1" applyBorder="1" applyAlignment="1">
      <alignment/>
    </xf>
    <xf numFmtId="3" fontId="23" fillId="13" borderId="11" xfId="0" applyNumberFormat="1" applyFont="1" applyFill="1" applyBorder="1" applyAlignment="1">
      <alignment horizontal="center"/>
    </xf>
    <xf numFmtId="49" fontId="23" fillId="6" borderId="113" xfId="0" applyNumberFormat="1" applyFont="1" applyFill="1" applyBorder="1" applyAlignment="1">
      <alignment horizontal="center"/>
    </xf>
    <xf numFmtId="49" fontId="23" fillId="6" borderId="120" xfId="0" applyNumberFormat="1" applyFont="1" applyFill="1" applyBorder="1" applyAlignment="1">
      <alignment horizontal="center"/>
    </xf>
    <xf numFmtId="0" fontId="0" fillId="13" borderId="108" xfId="0" applyFont="1" applyFill="1" applyBorder="1" applyAlignment="1">
      <alignment/>
    </xf>
    <xf numFmtId="0" fontId="0" fillId="13" borderId="102" xfId="0" applyFont="1" applyFill="1" applyBorder="1" applyAlignment="1">
      <alignment/>
    </xf>
    <xf numFmtId="0" fontId="0" fillId="13" borderId="92" xfId="0" applyFont="1" applyFill="1" applyBorder="1" applyAlignment="1">
      <alignment/>
    </xf>
    <xf numFmtId="0" fontId="38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4" fillId="0" borderId="0" xfId="0" applyNumberFormat="1" applyFont="1" applyFill="1" applyBorder="1" applyAlignment="1" applyProtection="1">
      <alignment/>
      <protection/>
    </xf>
    <xf numFmtId="9" fontId="24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4" fillId="0" borderId="93" xfId="0" applyNumberFormat="1" applyFont="1" applyFill="1" applyBorder="1" applyAlignment="1" applyProtection="1">
      <alignment/>
      <protection/>
    </xf>
    <xf numFmtId="0" fontId="0" fillId="0" borderId="97" xfId="0" applyFont="1" applyBorder="1" applyAlignment="1">
      <alignment/>
    </xf>
    <xf numFmtId="0" fontId="0" fillId="0" borderId="111" xfId="0" applyFont="1" applyBorder="1" applyAlignment="1">
      <alignment/>
    </xf>
    <xf numFmtId="0" fontId="24" fillId="0" borderId="121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1" fillId="13" borderId="0" xfId="0" applyFont="1" applyFill="1" applyBorder="1" applyAlignment="1">
      <alignment horizontal="center"/>
    </xf>
    <xf numFmtId="3" fontId="18" fillId="6" borderId="33" xfId="0" applyNumberFormat="1" applyFont="1" applyFill="1" applyBorder="1" applyAlignment="1">
      <alignment/>
    </xf>
    <xf numFmtId="0" fontId="31" fillId="13" borderId="0" xfId="0" applyFont="1" applyFill="1" applyBorder="1" applyAlignment="1">
      <alignment/>
    </xf>
    <xf numFmtId="3" fontId="31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1" fillId="13" borderId="21" xfId="0" applyNumberFormat="1" applyFont="1" applyFill="1" applyBorder="1" applyAlignment="1">
      <alignment/>
    </xf>
    <xf numFmtId="3" fontId="31" fillId="13" borderId="9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1" fillId="13" borderId="11" xfId="0" applyNumberFormat="1" applyFont="1" applyFill="1" applyBorder="1" applyAlignment="1">
      <alignment/>
    </xf>
    <xf numFmtId="3" fontId="31" fillId="13" borderId="12" xfId="0" applyNumberFormat="1" applyFont="1" applyFill="1" applyBorder="1" applyAlignment="1">
      <alignment/>
    </xf>
    <xf numFmtId="0" fontId="0" fillId="13" borderId="92" xfId="0" applyFill="1" applyBorder="1" applyAlignment="1">
      <alignment/>
    </xf>
    <xf numFmtId="0" fontId="0" fillId="0" borderId="93" xfId="0" applyFont="1" applyFill="1" applyBorder="1" applyAlignment="1">
      <alignment/>
    </xf>
    <xf numFmtId="0" fontId="0" fillId="13" borderId="96" xfId="0" applyFill="1" applyBorder="1" applyAlignment="1">
      <alignment/>
    </xf>
    <xf numFmtId="0" fontId="0" fillId="13" borderId="97" xfId="0" applyFill="1" applyBorder="1" applyAlignment="1">
      <alignment/>
    </xf>
    <xf numFmtId="0" fontId="0" fillId="13" borderId="93" xfId="0" applyFill="1" applyBorder="1" applyAlignment="1">
      <alignment/>
    </xf>
    <xf numFmtId="0" fontId="0" fillId="13" borderId="102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56" fillId="13" borderId="13" xfId="0" applyNumberFormat="1" applyFont="1" applyFill="1" applyBorder="1" applyAlignment="1">
      <alignment horizontal="center"/>
    </xf>
    <xf numFmtId="3" fontId="56" fillId="13" borderId="29" xfId="0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82" xfId="0" applyNumberFormat="1" applyFont="1" applyBorder="1" applyAlignment="1">
      <alignment horizontal="center"/>
    </xf>
    <xf numFmtId="49" fontId="0" fillId="13" borderId="116" xfId="0" applyNumberFormat="1" applyFont="1" applyFill="1" applyBorder="1" applyAlignment="1">
      <alignment horizontal="center"/>
    </xf>
    <xf numFmtId="49" fontId="0" fillId="13" borderId="42" xfId="0" applyNumberFormat="1" applyFont="1" applyFill="1" applyBorder="1" applyAlignment="1">
      <alignment horizontal="center"/>
    </xf>
    <xf numFmtId="49" fontId="0" fillId="13" borderId="68" xfId="0" applyNumberFormat="1" applyFont="1" applyFill="1" applyBorder="1" applyAlignment="1">
      <alignment horizontal="center"/>
    </xf>
    <xf numFmtId="0" fontId="0" fillId="13" borderId="97" xfId="0" applyFont="1" applyFill="1" applyBorder="1" applyAlignment="1">
      <alignment/>
    </xf>
    <xf numFmtId="49" fontId="23" fillId="6" borderId="23" xfId="0" applyNumberFormat="1" applyFont="1" applyFill="1" applyBorder="1" applyAlignment="1">
      <alignment horizontal="center"/>
    </xf>
    <xf numFmtId="0" fontId="0" fillId="13" borderId="114" xfId="0" applyFont="1" applyFill="1" applyBorder="1" applyAlignment="1">
      <alignment horizontal="left"/>
    </xf>
    <xf numFmtId="3" fontId="0" fillId="0" borderId="117" xfId="0" applyNumberFormat="1" applyFont="1" applyFill="1" applyBorder="1" applyAlignment="1" applyProtection="1">
      <alignment/>
      <protection/>
    </xf>
    <xf numFmtId="49" fontId="0" fillId="0" borderId="116" xfId="0" applyNumberFormat="1" applyFont="1" applyBorder="1" applyAlignment="1">
      <alignment horizontal="center"/>
    </xf>
    <xf numFmtId="0" fontId="0" fillId="13" borderId="122" xfId="0" applyFont="1" applyFill="1" applyBorder="1" applyAlignment="1">
      <alignment/>
    </xf>
    <xf numFmtId="0" fontId="0" fillId="13" borderId="123" xfId="0" applyFont="1" applyFill="1" applyBorder="1" applyAlignment="1">
      <alignment/>
    </xf>
    <xf numFmtId="49" fontId="0" fillId="13" borderId="124" xfId="0" applyNumberFormat="1" applyFont="1" applyFill="1" applyBorder="1" applyAlignment="1">
      <alignment horizontal="center"/>
    </xf>
    <xf numFmtId="49" fontId="0" fillId="0" borderId="66" xfId="48" applyNumberFormat="1" applyFont="1" applyFill="1" applyBorder="1" applyAlignment="1" applyProtection="1">
      <alignment horizontal="center"/>
      <protection/>
    </xf>
    <xf numFmtId="49" fontId="0" fillId="0" borderId="42" xfId="0" applyNumberFormat="1" applyFont="1" applyFill="1" applyBorder="1" applyAlignment="1">
      <alignment horizontal="center"/>
    </xf>
    <xf numFmtId="0" fontId="0" fillId="0" borderId="96" xfId="0" applyFont="1" applyFill="1" applyBorder="1" applyAlignment="1">
      <alignment/>
    </xf>
    <xf numFmtId="49" fontId="0" fillId="0" borderId="125" xfId="0" applyNumberFormat="1" applyFont="1" applyBorder="1" applyAlignment="1">
      <alignment horizontal="center"/>
    </xf>
    <xf numFmtId="0" fontId="0" fillId="13" borderId="126" xfId="0" applyFont="1" applyFill="1" applyBorder="1" applyAlignment="1">
      <alignment/>
    </xf>
    <xf numFmtId="49" fontId="0" fillId="0" borderId="127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33" xfId="0" applyNumberFormat="1" applyFont="1" applyFill="1" applyBorder="1" applyAlignment="1">
      <alignment horizontal="center"/>
    </xf>
    <xf numFmtId="49" fontId="0" fillId="6" borderId="129" xfId="0" applyNumberFormat="1" applyFont="1" applyFill="1" applyBorder="1" applyAlignment="1">
      <alignment horizontal="center"/>
    </xf>
    <xf numFmtId="0" fontId="38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49" fontId="0" fillId="0" borderId="130" xfId="0" applyNumberFormat="1" applyFont="1" applyBorder="1" applyAlignment="1">
      <alignment horizontal="center"/>
    </xf>
    <xf numFmtId="49" fontId="0" fillId="0" borderId="131" xfId="0" applyNumberFormat="1" applyFont="1" applyBorder="1" applyAlignment="1">
      <alignment horizontal="center"/>
    </xf>
    <xf numFmtId="49" fontId="0" fillId="0" borderId="131" xfId="0" applyNumberFormat="1" applyBorder="1" applyAlignment="1">
      <alignment horizontal="center"/>
    </xf>
    <xf numFmtId="49" fontId="0" fillId="0" borderId="132" xfId="0" applyNumberFormat="1" applyFont="1" applyBorder="1" applyAlignment="1">
      <alignment horizontal="center"/>
    </xf>
    <xf numFmtId="49" fontId="0" fillId="13" borderId="130" xfId="0" applyNumberFormat="1" applyFont="1" applyFill="1" applyBorder="1" applyAlignment="1">
      <alignment horizontal="center"/>
    </xf>
    <xf numFmtId="49" fontId="0" fillId="13" borderId="131" xfId="0" applyNumberFormat="1" applyFont="1" applyFill="1" applyBorder="1" applyAlignment="1">
      <alignment horizontal="center"/>
    </xf>
    <xf numFmtId="49" fontId="0" fillId="13" borderId="132" xfId="0" applyNumberFormat="1" applyFont="1" applyFill="1" applyBorder="1" applyAlignment="1">
      <alignment horizontal="center"/>
    </xf>
    <xf numFmtId="49" fontId="0" fillId="13" borderId="133" xfId="0" applyNumberFormat="1" applyFont="1" applyFill="1" applyBorder="1" applyAlignment="1">
      <alignment horizontal="center"/>
    </xf>
    <xf numFmtId="49" fontId="0" fillId="0" borderId="133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68" xfId="0" applyNumberFormat="1" applyBorder="1" applyAlignment="1">
      <alignment horizontal="center"/>
    </xf>
    <xf numFmtId="3" fontId="0" fillId="13" borderId="68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4" fillId="13" borderId="110" xfId="0" applyFont="1" applyFill="1" applyBorder="1" applyAlignment="1">
      <alignment/>
    </xf>
    <xf numFmtId="0" fontId="24" fillId="13" borderId="121" xfId="0" applyFont="1" applyFill="1" applyBorder="1" applyAlignment="1">
      <alignment/>
    </xf>
    <xf numFmtId="49" fontId="0" fillId="0" borderId="132" xfId="0" applyNumberFormat="1" applyBorder="1" applyAlignment="1">
      <alignment horizontal="center"/>
    </xf>
    <xf numFmtId="3" fontId="2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93" xfId="0" applyFill="1" applyBorder="1" applyAlignment="1">
      <alignment/>
    </xf>
    <xf numFmtId="0" fontId="0" fillId="13" borderId="11" xfId="0" applyFont="1" applyFill="1" applyBorder="1" applyAlignment="1">
      <alignment/>
    </xf>
    <xf numFmtId="49" fontId="0" fillId="0" borderId="29" xfId="0" applyNumberFormat="1" applyFont="1" applyBorder="1" applyAlignment="1">
      <alignment horizontal="center"/>
    </xf>
    <xf numFmtId="3" fontId="0" fillId="0" borderId="110" xfId="0" applyNumberFormat="1" applyFont="1" applyFill="1" applyBorder="1" applyAlignment="1" applyProtection="1">
      <alignment/>
      <protection/>
    </xf>
    <xf numFmtId="3" fontId="23" fillId="6" borderId="105" xfId="0" applyNumberFormat="1" applyFont="1" applyFill="1" applyBorder="1" applyAlignment="1">
      <alignment horizontal="center"/>
    </xf>
    <xf numFmtId="3" fontId="23" fillId="6" borderId="105" xfId="36" applyNumberFormat="1" applyFont="1" applyFill="1" applyBorder="1" applyAlignment="1" applyProtection="1">
      <alignment horizontal="center"/>
      <protection/>
    </xf>
    <xf numFmtId="49" fontId="0" fillId="13" borderId="118" xfId="0" applyNumberFormat="1" applyFont="1" applyFill="1" applyBorder="1" applyAlignment="1">
      <alignment horizontal="center"/>
    </xf>
    <xf numFmtId="49" fontId="0" fillId="13" borderId="66" xfId="0" applyNumberFormat="1" applyFont="1" applyFill="1" applyBorder="1" applyAlignment="1">
      <alignment horizontal="center"/>
    </xf>
    <xf numFmtId="49" fontId="0" fillId="13" borderId="69" xfId="0" applyNumberFormat="1" applyFont="1" applyFill="1" applyBorder="1" applyAlignment="1">
      <alignment horizontal="center"/>
    </xf>
    <xf numFmtId="49" fontId="0" fillId="13" borderId="134" xfId="0" applyNumberFormat="1" applyFont="1" applyFill="1" applyBorder="1" applyAlignment="1">
      <alignment horizontal="center"/>
    </xf>
    <xf numFmtId="49" fontId="0" fillId="13" borderId="109" xfId="0" applyNumberFormat="1" applyFont="1" applyFill="1" applyBorder="1" applyAlignment="1">
      <alignment horizontal="center"/>
    </xf>
    <xf numFmtId="49" fontId="0" fillId="13" borderId="66" xfId="0" applyNumberFormat="1" applyFill="1" applyBorder="1" applyAlignment="1">
      <alignment horizontal="center"/>
    </xf>
    <xf numFmtId="49" fontId="0" fillId="13" borderId="69" xfId="0" applyNumberFormat="1" applyFill="1" applyBorder="1" applyAlignment="1">
      <alignment horizontal="center"/>
    </xf>
    <xf numFmtId="49" fontId="0" fillId="6" borderId="135" xfId="0" applyNumberFormat="1" applyFont="1" applyFill="1" applyBorder="1" applyAlignment="1">
      <alignment horizontal="center"/>
    </xf>
    <xf numFmtId="0" fontId="28" fillId="18" borderId="136" xfId="0" applyFont="1" applyFill="1" applyBorder="1" applyAlignment="1" applyProtection="1">
      <alignment/>
      <protection/>
    </xf>
    <xf numFmtId="0" fontId="0" fillId="0" borderId="97" xfId="0" applyFont="1" applyFill="1" applyBorder="1" applyAlignment="1">
      <alignment/>
    </xf>
    <xf numFmtId="3" fontId="23" fillId="19" borderId="96" xfId="0" applyNumberFormat="1" applyFont="1" applyFill="1" applyBorder="1" applyAlignment="1">
      <alignment horizontal="right"/>
    </xf>
    <xf numFmtId="3" fontId="23" fillId="20" borderId="20" xfId="1" applyNumberFormat="1" applyFont="1" applyFill="1" applyBorder="1" applyAlignment="1" applyProtection="1">
      <alignment/>
      <protection/>
    </xf>
    <xf numFmtId="3" fontId="0" fillId="0" borderId="137" xfId="4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 locked="0"/>
    </xf>
    <xf numFmtId="3" fontId="0" fillId="0" borderId="138" xfId="4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/>
    </xf>
    <xf numFmtId="3" fontId="0" fillId="0" borderId="138" xfId="0" applyNumberFormat="1" applyFont="1" applyFill="1" applyBorder="1" applyAlignment="1" applyProtection="1">
      <alignment/>
      <protection locked="0"/>
    </xf>
    <xf numFmtId="3" fontId="0" fillId="0" borderId="139" xfId="0" applyNumberFormat="1" applyFont="1" applyFill="1" applyBorder="1" applyAlignment="1" applyProtection="1">
      <alignment/>
      <protection locked="0"/>
    </xf>
    <xf numFmtId="3" fontId="0" fillId="0" borderId="140" xfId="0" applyNumberFormat="1" applyFont="1" applyFill="1" applyBorder="1" applyAlignment="1" applyProtection="1">
      <alignment/>
      <protection locked="0"/>
    </xf>
    <xf numFmtId="3" fontId="0" fillId="0" borderId="138" xfId="4" applyNumberFormat="1" applyFont="1" applyFill="1" applyBorder="1" applyAlignment="1" applyProtection="1">
      <alignment/>
      <protection/>
    </xf>
    <xf numFmtId="3" fontId="0" fillId="0" borderId="137" xfId="4" applyNumberFormat="1" applyFont="1" applyFill="1" applyBorder="1" applyAlignment="1" applyProtection="1">
      <alignment/>
      <protection/>
    </xf>
    <xf numFmtId="0" fontId="18" fillId="0" borderId="0" xfId="1" applyNumberFormat="1" applyFont="1" applyFill="1" applyBorder="1" applyAlignment="1" applyProtection="1">
      <alignment/>
      <protection/>
    </xf>
    <xf numFmtId="3" fontId="0" fillId="20" borderId="46" xfId="1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0" borderId="141" xfId="4" applyNumberFormat="1" applyFont="1" applyFill="1" applyBorder="1" applyAlignment="1" applyProtection="1">
      <alignment/>
      <protection/>
    </xf>
    <xf numFmtId="3" fontId="0" fillId="20" borderId="47" xfId="1" applyNumberFormat="1" applyFont="1" applyFill="1" applyBorder="1" applyAlignment="1" applyProtection="1">
      <alignment/>
      <protection/>
    </xf>
    <xf numFmtId="3" fontId="0" fillId="20" borderId="51" xfId="0" applyNumberFormat="1" applyFont="1" applyFill="1" applyBorder="1" applyAlignment="1" applyProtection="1">
      <alignment/>
      <protection/>
    </xf>
    <xf numFmtId="3" fontId="0" fillId="20" borderId="43" xfId="1" applyNumberFormat="1" applyFont="1" applyFill="1" applyBorder="1" applyAlignment="1" applyProtection="1">
      <alignment/>
      <protection/>
    </xf>
    <xf numFmtId="3" fontId="0" fillId="20" borderId="51" xfId="1" applyNumberFormat="1" applyFont="1" applyFill="1" applyBorder="1" applyAlignment="1" applyProtection="1">
      <alignment/>
      <protection/>
    </xf>
    <xf numFmtId="3" fontId="0" fillId="20" borderId="44" xfId="1" applyNumberFormat="1" applyFont="1" applyFill="1" applyBorder="1" applyAlignment="1" applyProtection="1">
      <alignment/>
      <protection/>
    </xf>
    <xf numFmtId="3" fontId="0" fillId="20" borderId="54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0" borderId="20" xfId="1" applyNumberFormat="1" applyFont="1" applyFill="1" applyBorder="1" applyAlignment="1" applyProtection="1">
      <alignment/>
      <protection/>
    </xf>
    <xf numFmtId="3" fontId="0" fillId="20" borderId="142" xfId="1" applyNumberFormat="1" applyFont="1" applyFill="1" applyBorder="1" applyAlignment="1" applyProtection="1">
      <alignment/>
      <protection/>
    </xf>
    <xf numFmtId="3" fontId="0" fillId="21" borderId="143" xfId="1" applyNumberFormat="1" applyFont="1" applyFill="1" applyBorder="1" applyAlignment="1" applyProtection="1">
      <alignment/>
      <protection/>
    </xf>
    <xf numFmtId="3" fontId="0" fillId="20" borderId="143" xfId="1" applyNumberFormat="1" applyFont="1" applyFill="1" applyBorder="1" applyAlignment="1" applyProtection="1">
      <alignment/>
      <protection/>
    </xf>
    <xf numFmtId="3" fontId="0" fillId="20" borderId="71" xfId="1" applyNumberFormat="1" applyFont="1" applyFill="1" applyBorder="1" applyAlignment="1" applyProtection="1">
      <alignment/>
      <protection/>
    </xf>
    <xf numFmtId="3" fontId="0" fillId="20" borderId="144" xfId="1" applyNumberFormat="1" applyFont="1" applyFill="1" applyBorder="1" applyAlignment="1" applyProtection="1">
      <alignment/>
      <protection/>
    </xf>
    <xf numFmtId="3" fontId="0" fillId="20" borderId="41" xfId="1" applyNumberFormat="1" applyFont="1" applyFill="1" applyBorder="1" applyAlignment="1" applyProtection="1">
      <alignment/>
      <protection/>
    </xf>
    <xf numFmtId="3" fontId="0" fillId="20" borderId="145" xfId="1" applyNumberFormat="1" applyFont="1" applyFill="1" applyBorder="1" applyAlignment="1" applyProtection="1">
      <alignment/>
      <protection/>
    </xf>
    <xf numFmtId="49" fontId="0" fillId="13" borderId="125" xfId="0" applyNumberFormat="1" applyFill="1" applyBorder="1" applyAlignment="1">
      <alignment horizontal="center"/>
    </xf>
    <xf numFmtId="49" fontId="0" fillId="13" borderId="42" xfId="0" applyNumberFormat="1" applyFill="1" applyBorder="1" applyAlignment="1">
      <alignment horizontal="center"/>
    </xf>
    <xf numFmtId="49" fontId="0" fillId="13" borderId="116" xfId="0" applyNumberFormat="1" applyFill="1" applyBorder="1" applyAlignment="1">
      <alignment horizontal="center"/>
    </xf>
    <xf numFmtId="3" fontId="50" fillId="13" borderId="42" xfId="0" applyNumberFormat="1" applyFont="1" applyFill="1" applyBorder="1" applyAlignment="1">
      <alignment horizontal="center"/>
    </xf>
    <xf numFmtId="0" fontId="0" fillId="0" borderId="90" xfId="0" applyFont="1" applyBorder="1" applyAlignment="1">
      <alignment/>
    </xf>
    <xf numFmtId="3" fontId="23" fillId="22" borderId="105" xfId="0" applyNumberFormat="1" applyFont="1" applyFill="1" applyBorder="1" applyAlignment="1">
      <alignment/>
    </xf>
    <xf numFmtId="49" fontId="0" fillId="0" borderId="146" xfId="0" applyNumberFormat="1" applyFont="1" applyBorder="1" applyAlignment="1">
      <alignment horizontal="center"/>
    </xf>
    <xf numFmtId="3" fontId="50" fillId="13" borderId="68" xfId="0" applyNumberFormat="1" applyFont="1" applyFill="1" applyBorder="1" applyAlignment="1">
      <alignment horizontal="center"/>
    </xf>
    <xf numFmtId="3" fontId="23" fillId="6" borderId="147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8" fillId="0" borderId="29" xfId="0" applyNumberFormat="1" applyFont="1" applyBorder="1" applyAlignment="1">
      <alignment horizontal="center"/>
    </xf>
    <xf numFmtId="3" fontId="0" fillId="13" borderId="102" xfId="0" applyNumberFormat="1" applyFont="1" applyFill="1" applyBorder="1" applyAlignment="1">
      <alignment horizontal="left"/>
    </xf>
    <xf numFmtId="3" fontId="0" fillId="13" borderId="116" xfId="0" applyNumberFormat="1" applyFont="1" applyFill="1" applyBorder="1" applyAlignment="1">
      <alignment horizontal="center"/>
    </xf>
    <xf numFmtId="0" fontId="0" fillId="13" borderId="148" xfId="0" applyFont="1" applyFill="1" applyBorder="1" applyAlignment="1">
      <alignment/>
    </xf>
    <xf numFmtId="0" fontId="23" fillId="6" borderId="113" xfId="0" applyFont="1" applyFill="1" applyBorder="1" applyAlignment="1">
      <alignment/>
    </xf>
    <xf numFmtId="49" fontId="28" fillId="6" borderId="14" xfId="0" applyNumberFormat="1" applyFont="1" applyFill="1" applyBorder="1" applyAlignment="1">
      <alignment horizontal="center"/>
    </xf>
    <xf numFmtId="0" fontId="23" fillId="6" borderId="16" xfId="0" applyFont="1" applyFill="1" applyBorder="1" applyAlignment="1">
      <alignment/>
    </xf>
    <xf numFmtId="49" fontId="28" fillId="6" borderId="107" xfId="0" applyNumberFormat="1" applyFont="1" applyFill="1" applyBorder="1" applyAlignment="1">
      <alignment horizontal="center"/>
    </xf>
    <xf numFmtId="0" fontId="23" fillId="6" borderId="149" xfId="0" applyFont="1" applyFill="1" applyBorder="1" applyAlignment="1">
      <alignment/>
    </xf>
    <xf numFmtId="0" fontId="23" fillId="6" borderId="129" xfId="0" applyFont="1" applyFill="1" applyBorder="1" applyAlignment="1">
      <alignment/>
    </xf>
    <xf numFmtId="0" fontId="23" fillId="6" borderId="101" xfId="0" applyFont="1" applyFill="1" applyBorder="1" applyAlignment="1">
      <alignment/>
    </xf>
    <xf numFmtId="49" fontId="0" fillId="6" borderId="147" xfId="0" applyNumberFormat="1" applyFont="1" applyFill="1" applyBorder="1" applyAlignment="1">
      <alignment horizontal="center"/>
    </xf>
    <xf numFmtId="0" fontId="38" fillId="6" borderId="10" xfId="0" applyFont="1" applyFill="1" applyBorder="1" applyAlignment="1">
      <alignment/>
    </xf>
    <xf numFmtId="0" fontId="38" fillId="6" borderId="29" xfId="0" applyFont="1" applyFill="1" applyBorder="1" applyAlignment="1">
      <alignment/>
    </xf>
    <xf numFmtId="3" fontId="30" fillId="0" borderId="20" xfId="0" applyNumberFormat="1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/>
      <protection/>
    </xf>
    <xf numFmtId="0" fontId="34" fillId="0" borderId="20" xfId="0" applyFont="1" applyFill="1" applyBorder="1" applyAlignment="1" applyProtection="1">
      <alignment/>
      <protection/>
    </xf>
    <xf numFmtId="164" fontId="35" fillId="0" borderId="20" xfId="34" applyFont="1" applyFill="1" applyBorder="1" applyAlignment="1" applyProtection="1">
      <alignment/>
      <protection/>
    </xf>
    <xf numFmtId="0" fontId="35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4" fillId="0" borderId="20" xfId="0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5" fillId="0" borderId="79" xfId="0" applyNumberFormat="1" applyFont="1" applyFill="1" applyBorder="1" applyAlignment="1" applyProtection="1">
      <alignment/>
      <protection/>
    </xf>
    <xf numFmtId="3" fontId="25" fillId="0" borderId="24" xfId="0" applyNumberFormat="1" applyFont="1" applyFill="1" applyBorder="1" applyAlignment="1" applyProtection="1">
      <alignment/>
      <protection/>
    </xf>
    <xf numFmtId="3" fontId="25" fillId="0" borderId="72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3" fontId="0" fillId="13" borderId="125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13" borderId="82" xfId="0" applyNumberFormat="1" applyFont="1" applyFill="1" applyBorder="1" applyAlignment="1">
      <alignment horizontal="center"/>
    </xf>
    <xf numFmtId="3" fontId="23" fillId="6" borderId="33" xfId="0" applyNumberFormat="1" applyFont="1" applyFill="1" applyBorder="1" applyAlignment="1">
      <alignment horizontal="center"/>
    </xf>
    <xf numFmtId="0" fontId="0" fillId="6" borderId="33" xfId="0" applyFont="1" applyFill="1" applyBorder="1" applyAlignment="1">
      <alignment/>
    </xf>
    <xf numFmtId="0" fontId="0" fillId="13" borderId="106" xfId="0" applyFill="1" applyBorder="1" applyAlignment="1">
      <alignment/>
    </xf>
    <xf numFmtId="0" fontId="23" fillId="18" borderId="150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13" borderId="0" xfId="0" applyNumberFormat="1" applyFill="1" applyBorder="1" applyAlignment="1" applyProtection="1">
      <alignment/>
      <protection/>
    </xf>
    <xf numFmtId="3" fontId="0" fillId="20" borderId="12" xfId="4" applyNumberFormat="1" applyFont="1" applyFill="1" applyBorder="1" applyAlignment="1" applyProtection="1">
      <alignment/>
      <protection/>
    </xf>
    <xf numFmtId="3" fontId="25" fillId="0" borderId="151" xfId="4" applyNumberFormat="1" applyFont="1" applyFill="1" applyBorder="1" applyAlignment="1" applyProtection="1">
      <alignment/>
      <protection/>
    </xf>
    <xf numFmtId="3" fontId="25" fillId="0" borderId="110" xfId="4" applyNumberFormat="1" applyFont="1" applyFill="1" applyBorder="1" applyAlignment="1" applyProtection="1">
      <alignment/>
      <protection/>
    </xf>
    <xf numFmtId="3" fontId="25" fillId="0" borderId="121" xfId="4" applyNumberFormat="1" applyFont="1" applyFill="1" applyBorder="1" applyAlignment="1" applyProtection="1">
      <alignment/>
      <protection/>
    </xf>
    <xf numFmtId="0" fontId="28" fillId="18" borderId="99" xfId="0" applyFont="1" applyFill="1" applyBorder="1" applyAlignment="1" applyProtection="1">
      <alignment/>
      <protection/>
    </xf>
    <xf numFmtId="3" fontId="23" fillId="0" borderId="90" xfId="4" applyNumberFormat="1" applyFont="1" applyFill="1" applyBorder="1" applyAlignment="1" applyProtection="1">
      <alignment/>
      <protection/>
    </xf>
    <xf numFmtId="0" fontId="23" fillId="18" borderId="33" xfId="0" applyFont="1" applyFill="1" applyBorder="1" applyAlignment="1" applyProtection="1">
      <alignment/>
      <protection/>
    </xf>
    <xf numFmtId="3" fontId="23" fillId="18" borderId="33" xfId="4" applyNumberFormat="1" applyFont="1" applyFill="1" applyBorder="1" applyAlignment="1" applyProtection="1">
      <alignment/>
      <protection/>
    </xf>
    <xf numFmtId="3" fontId="23" fillId="13" borderId="33" xfId="4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3" fillId="18" borderId="33" xfId="0" applyNumberFormat="1" applyFont="1" applyFill="1" applyBorder="1" applyAlignment="1" applyProtection="1">
      <alignment/>
      <protection/>
    </xf>
    <xf numFmtId="3" fontId="23" fillId="0" borderId="21" xfId="4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21" borderId="21" xfId="4" applyNumberFormat="1" applyFont="1" applyFill="1" applyBorder="1" applyAlignment="1" applyProtection="1">
      <alignment/>
      <protection/>
    </xf>
    <xf numFmtId="0" fontId="54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54" fillId="13" borderId="0" xfId="0" applyNumberFormat="1" applyFont="1" applyFill="1" applyBorder="1" applyAlignment="1">
      <alignment horizontal="center"/>
    </xf>
    <xf numFmtId="3" fontId="54" fillId="13" borderId="11" xfId="0" applyNumberFormat="1" applyFont="1" applyFill="1" applyBorder="1" applyAlignment="1">
      <alignment horizontal="center"/>
    </xf>
    <xf numFmtId="3" fontId="0" fillId="0" borderId="125" xfId="0" applyNumberFormat="1" applyFont="1" applyFill="1" applyBorder="1" applyAlignment="1">
      <alignment horizontal="center"/>
    </xf>
    <xf numFmtId="3" fontId="0" fillId="13" borderId="42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82" xfId="0" applyNumberFormat="1" applyFont="1" applyFill="1" applyBorder="1" applyAlignment="1">
      <alignment horizontal="center"/>
    </xf>
    <xf numFmtId="3" fontId="0" fillId="13" borderId="125" xfId="0" applyNumberFormat="1" applyFont="1" applyFill="1" applyBorder="1" applyAlignment="1">
      <alignment horizontal="center"/>
    </xf>
    <xf numFmtId="3" fontId="0" fillId="13" borderId="23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23" fillId="6" borderId="90" xfId="0" applyNumberFormat="1" applyFont="1" applyFill="1" applyBorder="1" applyAlignment="1">
      <alignment horizontal="center"/>
    </xf>
    <xf numFmtId="3" fontId="0" fillId="0" borderId="125" xfId="0" applyNumberFormat="1" applyFont="1" applyFill="1" applyBorder="1" applyAlignment="1">
      <alignment horizontal="center"/>
    </xf>
    <xf numFmtId="3" fontId="0" fillId="13" borderId="116" xfId="0" applyNumberFormat="1" applyFont="1" applyFill="1" applyBorder="1" applyAlignment="1">
      <alignment horizontal="center"/>
    </xf>
    <xf numFmtId="3" fontId="0" fillId="0" borderId="116" xfId="0" applyNumberFormat="1" applyFont="1" applyFill="1" applyBorder="1" applyAlignment="1">
      <alignment horizontal="center"/>
    </xf>
    <xf numFmtId="3" fontId="0" fillId="0" borderId="11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68" xfId="0" applyNumberFormat="1" applyFont="1" applyFill="1" applyBorder="1" applyAlignment="1">
      <alignment horizontal="center"/>
    </xf>
    <xf numFmtId="3" fontId="0" fillId="0" borderId="82" xfId="0" applyNumberFormat="1" applyFont="1" applyFill="1" applyBorder="1" applyAlignment="1">
      <alignment horizontal="center"/>
    </xf>
    <xf numFmtId="3" fontId="0" fillId="0" borderId="28" xfId="4" applyNumberFormat="1" applyFont="1" applyFill="1" applyBorder="1" applyAlignment="1" applyProtection="1">
      <alignment/>
      <protection/>
    </xf>
    <xf numFmtId="3" fontId="23" fillId="0" borderId="91" xfId="0" applyNumberFormat="1" applyFont="1" applyFill="1" applyBorder="1" applyAlignment="1" applyProtection="1">
      <alignment/>
      <protection/>
    </xf>
    <xf numFmtId="3" fontId="23" fillId="13" borderId="105" xfId="4" applyNumberFormat="1" applyFont="1" applyFill="1" applyBorder="1" applyAlignment="1" applyProtection="1">
      <alignment/>
      <protection/>
    </xf>
    <xf numFmtId="3" fontId="23" fillId="18" borderId="129" xfId="4" applyNumberFormat="1" applyFont="1" applyFill="1" applyBorder="1" applyAlignment="1" applyProtection="1">
      <alignment horizontal="right"/>
      <protection/>
    </xf>
    <xf numFmtId="3" fontId="0" fillId="18" borderId="147" xfId="0" applyNumberFormat="1" applyFont="1" applyFill="1" applyBorder="1" applyAlignment="1" applyProtection="1">
      <alignment horizontal="right"/>
      <protection/>
    </xf>
    <xf numFmtId="3" fontId="0" fillId="18" borderId="100" xfId="0" applyNumberFormat="1" applyFont="1" applyFill="1" applyBorder="1" applyAlignment="1" applyProtection="1">
      <alignment horizontal="right"/>
      <protection/>
    </xf>
    <xf numFmtId="0" fontId="0" fillId="18" borderId="147" xfId="4" applyNumberFormat="1" applyFont="1" applyFill="1" applyBorder="1" applyAlignment="1" applyProtection="1">
      <alignment horizontal="right"/>
      <protection/>
    </xf>
    <xf numFmtId="0" fontId="0" fillId="18" borderId="112" xfId="0" applyFont="1" applyFill="1" applyBorder="1" applyAlignment="1" applyProtection="1">
      <alignment horizontal="right"/>
      <protection/>
    </xf>
    <xf numFmtId="0" fontId="23" fillId="18" borderId="147" xfId="0" applyFont="1" applyFill="1" applyBorder="1" applyAlignment="1" applyProtection="1">
      <alignment horizontal="right"/>
      <protection/>
    </xf>
    <xf numFmtId="0" fontId="0" fillId="18" borderId="147" xfId="0" applyFont="1" applyFill="1" applyBorder="1" applyAlignment="1" applyProtection="1">
      <alignment horizontal="right"/>
      <protection/>
    </xf>
    <xf numFmtId="3" fontId="0" fillId="18" borderId="152" xfId="0" applyNumberFormat="1" applyFont="1" applyFill="1" applyBorder="1" applyAlignment="1" applyProtection="1">
      <alignment horizontal="right"/>
      <protection/>
    </xf>
    <xf numFmtId="0" fontId="23" fillId="18" borderId="153" xfId="0" applyFont="1" applyFill="1" applyBorder="1" applyAlignment="1" applyProtection="1">
      <alignment horizontal="right"/>
      <protection/>
    </xf>
    <xf numFmtId="0" fontId="23" fillId="18" borderId="112" xfId="4" applyNumberFormat="1" applyFont="1" applyFill="1" applyBorder="1" applyAlignment="1" applyProtection="1">
      <alignment horizontal="right"/>
      <protection/>
    </xf>
    <xf numFmtId="1" fontId="0" fillId="18" borderId="147" xfId="0" applyNumberFormat="1" applyFont="1" applyFill="1" applyBorder="1" applyAlignment="1" applyProtection="1">
      <alignment horizontal="right"/>
      <protection/>
    </xf>
    <xf numFmtId="3" fontId="23" fillId="18" borderId="147" xfId="0" applyNumberFormat="1" applyFont="1" applyFill="1" applyBorder="1" applyAlignment="1" applyProtection="1">
      <alignment horizontal="right"/>
      <protection/>
    </xf>
    <xf numFmtId="1" fontId="0" fillId="18" borderId="100" xfId="0" applyNumberFormat="1" applyFont="1" applyFill="1" applyBorder="1" applyAlignment="1" applyProtection="1">
      <alignment horizontal="right"/>
      <protection/>
    </xf>
    <xf numFmtId="0" fontId="0" fillId="18" borderId="100" xfId="4" applyNumberFormat="1" applyFont="1" applyFill="1" applyBorder="1" applyAlignment="1" applyProtection="1">
      <alignment horizontal="right"/>
      <protection/>
    </xf>
    <xf numFmtId="0" fontId="0" fillId="18" borderId="100" xfId="0" applyFont="1" applyFill="1" applyBorder="1" applyAlignment="1" applyProtection="1">
      <alignment horizontal="right"/>
      <protection/>
    </xf>
    <xf numFmtId="3" fontId="0" fillId="18" borderId="147" xfId="4" applyNumberFormat="1" applyFont="1" applyFill="1" applyBorder="1" applyAlignment="1" applyProtection="1">
      <alignment horizontal="right"/>
      <protection/>
    </xf>
    <xf numFmtId="3" fontId="23" fillId="18" borderId="147" xfId="4" applyNumberFormat="1" applyFont="1" applyFill="1" applyBorder="1" applyAlignment="1" applyProtection="1">
      <alignment horizontal="right"/>
      <protection/>
    </xf>
    <xf numFmtId="3" fontId="0" fillId="18" borderId="100" xfId="4" applyNumberFormat="1" applyFont="1" applyFill="1" applyBorder="1" applyAlignment="1" applyProtection="1">
      <alignment horizontal="right"/>
      <protection/>
    </xf>
    <xf numFmtId="3" fontId="23" fillId="18" borderId="100" xfId="0" applyNumberFormat="1" applyFont="1" applyFill="1" applyBorder="1" applyAlignment="1" applyProtection="1">
      <alignment horizontal="right"/>
      <protection/>
    </xf>
    <xf numFmtId="3" fontId="23" fillId="18" borderId="112" xfId="0" applyNumberFormat="1" applyFont="1" applyFill="1" applyBorder="1" applyAlignment="1" applyProtection="1">
      <alignment horizontal="right"/>
      <protection/>
    </xf>
    <xf numFmtId="3" fontId="23" fillId="18" borderId="101" xfId="0" applyNumberFormat="1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>
      <alignment horizontal="center"/>
    </xf>
    <xf numFmtId="3" fontId="32" fillId="6" borderId="105" xfId="0" applyNumberFormat="1" applyFont="1" applyFill="1" applyBorder="1" applyAlignment="1">
      <alignment horizontal="center"/>
    </xf>
    <xf numFmtId="0" fontId="23" fillId="6" borderId="10" xfId="0" applyFont="1" applyFill="1" applyBorder="1" applyAlignment="1">
      <alignment/>
    </xf>
    <xf numFmtId="3" fontId="33" fillId="13" borderId="68" xfId="0" applyNumberFormat="1" applyFont="1" applyFill="1" applyBorder="1" applyAlignment="1">
      <alignment horizontal="center"/>
    </xf>
    <xf numFmtId="3" fontId="33" fillId="0" borderId="68" xfId="0" applyNumberFormat="1" applyFont="1" applyFill="1" applyBorder="1" applyAlignment="1">
      <alignment horizontal="center"/>
    </xf>
    <xf numFmtId="3" fontId="33" fillId="13" borderId="42" xfId="0" applyNumberFormat="1" applyFont="1" applyFill="1" applyBorder="1" applyAlignment="1">
      <alignment horizontal="center"/>
    </xf>
    <xf numFmtId="3" fontId="33" fillId="13" borderId="82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68" xfId="0" applyFont="1" applyFill="1" applyBorder="1" applyAlignment="1">
      <alignment/>
    </xf>
    <xf numFmtId="0" fontId="0" fillId="13" borderId="42" xfId="0" applyFont="1" applyFill="1" applyBorder="1" applyAlignment="1">
      <alignment/>
    </xf>
    <xf numFmtId="0" fontId="0" fillId="13" borderId="82" xfId="0" applyFont="1" applyFill="1" applyBorder="1" applyAlignment="1">
      <alignment/>
    </xf>
    <xf numFmtId="3" fontId="33" fillId="0" borderId="116" xfId="0" applyNumberFormat="1" applyFont="1" applyFill="1" applyBorder="1" applyAlignment="1">
      <alignment horizontal="center"/>
    </xf>
    <xf numFmtId="0" fontId="0" fillId="13" borderId="125" xfId="0" applyFont="1" applyFill="1" applyBorder="1" applyAlignment="1">
      <alignment/>
    </xf>
    <xf numFmtId="0" fontId="0" fillId="13" borderId="42" xfId="0" applyFill="1" applyBorder="1" applyAlignment="1">
      <alignment/>
    </xf>
    <xf numFmtId="0" fontId="24" fillId="13" borderId="42" xfId="0" applyFont="1" applyFill="1" applyBorder="1" applyAlignment="1">
      <alignment/>
    </xf>
    <xf numFmtId="0" fontId="54" fillId="13" borderId="11" xfId="0" applyFont="1" applyFill="1" applyBorder="1" applyAlignment="1">
      <alignment horizontal="center"/>
    </xf>
    <xf numFmtId="49" fontId="54" fillId="13" borderId="29" xfId="0" applyNumberFormat="1" applyFont="1" applyFill="1" applyBorder="1" applyAlignment="1">
      <alignment horizontal="center"/>
    </xf>
    <xf numFmtId="0" fontId="18" fillId="0" borderId="29" xfId="0" applyFont="1" applyBorder="1" applyAlignment="1">
      <alignment/>
    </xf>
    <xf numFmtId="3" fontId="33" fillId="13" borderId="125" xfId="0" applyNumberFormat="1" applyFont="1" applyFill="1" applyBorder="1" applyAlignment="1">
      <alignment horizontal="center"/>
    </xf>
    <xf numFmtId="3" fontId="33" fillId="0" borderId="42" xfId="0" applyNumberFormat="1" applyFont="1" applyFill="1" applyBorder="1" applyAlignment="1">
      <alignment horizontal="center"/>
    </xf>
    <xf numFmtId="0" fontId="0" fillId="13" borderId="154" xfId="0" applyFont="1" applyFill="1" applyBorder="1" applyAlignment="1">
      <alignment/>
    </xf>
    <xf numFmtId="0" fontId="0" fillId="13" borderId="45" xfId="0" applyFont="1" applyFill="1" applyBorder="1" applyAlignment="1">
      <alignment/>
    </xf>
    <xf numFmtId="0" fontId="0" fillId="13" borderId="45" xfId="0" applyFill="1" applyBorder="1" applyAlignment="1">
      <alignment/>
    </xf>
    <xf numFmtId="0" fontId="0" fillId="13" borderId="45" xfId="0" applyFont="1" applyFill="1" applyBorder="1" applyAlignment="1">
      <alignment horizontal="left"/>
    </xf>
    <xf numFmtId="0" fontId="0" fillId="13" borderId="155" xfId="0" applyFont="1" applyFill="1" applyBorder="1" applyAlignment="1">
      <alignment/>
    </xf>
    <xf numFmtId="0" fontId="23" fillId="6" borderId="150" xfId="0" applyFont="1" applyFill="1" applyBorder="1" applyAlignment="1">
      <alignment/>
    </xf>
    <xf numFmtId="3" fontId="54" fillId="6" borderId="33" xfId="0" applyNumberFormat="1" applyFont="1" applyFill="1" applyBorder="1" applyAlignment="1">
      <alignment horizontal="center"/>
    </xf>
    <xf numFmtId="3" fontId="33" fillId="13" borderId="29" xfId="0" applyNumberFormat="1" applyFont="1" applyFill="1" applyBorder="1" applyAlignment="1">
      <alignment horizontal="center"/>
    </xf>
    <xf numFmtId="3" fontId="33" fillId="13" borderId="118" xfId="0" applyNumberFormat="1" applyFont="1" applyFill="1" applyBorder="1" applyAlignment="1">
      <alignment horizontal="center"/>
    </xf>
    <xf numFmtId="3" fontId="33" fillId="13" borderId="69" xfId="0" applyNumberFormat="1" applyFont="1" applyFill="1" applyBorder="1" applyAlignment="1">
      <alignment horizontal="center"/>
    </xf>
    <xf numFmtId="3" fontId="33" fillId="0" borderId="69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left"/>
    </xf>
    <xf numFmtId="3" fontId="0" fillId="13" borderId="82" xfId="0" applyNumberFormat="1" applyFont="1" applyFill="1" applyBorder="1" applyAlignment="1">
      <alignment horizontal="left"/>
    </xf>
    <xf numFmtId="3" fontId="55" fillId="13" borderId="66" xfId="0" applyNumberFormat="1" applyFont="1" applyFill="1" applyBorder="1" applyAlignment="1">
      <alignment horizontal="center"/>
    </xf>
    <xf numFmtId="3" fontId="33" fillId="0" borderId="66" xfId="0" applyNumberFormat="1" applyFont="1" applyFill="1" applyBorder="1" applyAlignment="1">
      <alignment horizontal="center"/>
    </xf>
    <xf numFmtId="0" fontId="0" fillId="13" borderId="68" xfId="0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0" fontId="0" fillId="13" borderId="95" xfId="0" applyFill="1" applyBorder="1" applyAlignment="1">
      <alignment/>
    </xf>
    <xf numFmtId="49" fontId="0" fillId="13" borderId="68" xfId="0" applyNumberFormat="1" applyFill="1" applyBorder="1" applyAlignment="1">
      <alignment horizontal="center"/>
    </xf>
    <xf numFmtId="3" fontId="55" fillId="0" borderId="66" xfId="0" applyNumberFormat="1" applyFont="1" applyFill="1" applyBorder="1" applyAlignment="1">
      <alignment horizontal="center"/>
    </xf>
    <xf numFmtId="49" fontId="0" fillId="0" borderId="69" xfId="48" applyNumberFormat="1" applyFont="1" applyFill="1" applyBorder="1" applyAlignment="1" applyProtection="1">
      <alignment horizontal="center"/>
      <protection/>
    </xf>
    <xf numFmtId="3" fontId="0" fillId="13" borderId="23" xfId="0" applyNumberFormat="1" applyFont="1" applyFill="1" applyBorder="1" applyAlignment="1">
      <alignment horizontal="center"/>
    </xf>
    <xf numFmtId="9" fontId="24" fillId="0" borderId="93" xfId="48" applyFont="1" applyFill="1" applyBorder="1" applyAlignment="1" applyProtection="1">
      <alignment/>
      <protection/>
    </xf>
    <xf numFmtId="49" fontId="0" fillId="0" borderId="66" xfId="0" applyNumberFormat="1" applyBorder="1" applyAlignment="1">
      <alignment horizontal="center"/>
    </xf>
    <xf numFmtId="0" fontId="0" fillId="13" borderId="104" xfId="0" applyFill="1" applyBorder="1" applyAlignment="1">
      <alignment/>
    </xf>
    <xf numFmtId="0" fontId="25" fillId="13" borderId="94" xfId="0" applyFont="1" applyFill="1" applyBorder="1" applyAlignment="1">
      <alignment/>
    </xf>
    <xf numFmtId="0" fontId="24" fillId="13" borderId="94" xfId="0" applyFont="1" applyFill="1" applyBorder="1" applyAlignment="1">
      <alignment/>
    </xf>
    <xf numFmtId="0" fontId="24" fillId="0" borderId="110" xfId="0" applyFont="1" applyBorder="1" applyAlignment="1">
      <alignment/>
    </xf>
    <xf numFmtId="3" fontId="0" fillId="21" borderId="0" xfId="0" applyNumberFormat="1" applyFont="1" applyFill="1" applyBorder="1" applyAlignment="1">
      <alignment/>
    </xf>
    <xf numFmtId="3" fontId="33" fillId="21" borderId="69" xfId="0" applyNumberFormat="1" applyFont="1" applyFill="1" applyBorder="1" applyAlignment="1">
      <alignment horizontal="center"/>
    </xf>
    <xf numFmtId="3" fontId="29" fillId="21" borderId="0" xfId="0" applyNumberFormat="1" applyFont="1" applyFill="1" applyBorder="1" applyAlignment="1">
      <alignment/>
    </xf>
    <xf numFmtId="0" fontId="0" fillId="13" borderId="156" xfId="0" applyFont="1" applyFill="1" applyBorder="1" applyAlignment="1">
      <alignment/>
    </xf>
    <xf numFmtId="3" fontId="0" fillId="13" borderId="14" xfId="0" applyNumberFormat="1" applyFont="1" applyFill="1" applyBorder="1" applyAlignment="1">
      <alignment horizontal="center"/>
    </xf>
    <xf numFmtId="0" fontId="28" fillId="6" borderId="106" xfId="0" applyFont="1" applyFill="1" applyBorder="1" applyAlignment="1">
      <alignment horizontal="center"/>
    </xf>
    <xf numFmtId="49" fontId="28" fillId="6" borderId="91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13" borderId="22" xfId="48" applyNumberFormat="1" applyFont="1" applyFill="1" applyBorder="1" applyAlignment="1" applyProtection="1">
      <alignment horizontal="center"/>
      <protection/>
    </xf>
    <xf numFmtId="3" fontId="32" fillId="6" borderId="129" xfId="0" applyNumberFormat="1" applyFont="1" applyFill="1" applyBorder="1" applyAlignment="1">
      <alignment horizontal="center"/>
    </xf>
    <xf numFmtId="3" fontId="54" fillId="6" borderId="129" xfId="0" applyNumberFormat="1" applyFont="1" applyFill="1" applyBorder="1" applyAlignment="1">
      <alignment horizontal="center"/>
    </xf>
    <xf numFmtId="49" fontId="0" fillId="0" borderId="134" xfId="0" applyNumberFormat="1" applyFont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49" fontId="38" fillId="0" borderId="104" xfId="0" applyNumberFormat="1" applyFont="1" applyFill="1" applyBorder="1" applyAlignment="1">
      <alignment horizontal="center"/>
    </xf>
    <xf numFmtId="0" fontId="42" fillId="0" borderId="75" xfId="0" applyFont="1" applyFill="1" applyBorder="1" applyAlignment="1">
      <alignment horizontal="left"/>
    </xf>
    <xf numFmtId="3" fontId="38" fillId="0" borderId="158" xfId="0" applyNumberFormat="1" applyFont="1" applyFill="1" applyBorder="1" applyAlignment="1">
      <alignment/>
    </xf>
    <xf numFmtId="3" fontId="23" fillId="0" borderId="96" xfId="0" applyNumberFormat="1" applyFont="1" applyFill="1" applyBorder="1" applyAlignment="1">
      <alignment horizontal="right"/>
    </xf>
    <xf numFmtId="49" fontId="0" fillId="13" borderId="157" xfId="0" applyNumberFormat="1" applyFont="1" applyFill="1" applyBorder="1" applyAlignment="1">
      <alignment horizontal="center"/>
    </xf>
    <xf numFmtId="49" fontId="0" fillId="13" borderId="23" xfId="0" applyNumberFormat="1" applyFont="1" applyFill="1" applyBorder="1" applyAlignment="1">
      <alignment horizontal="center"/>
    </xf>
    <xf numFmtId="0" fontId="0" fillId="13" borderId="117" xfId="0" applyFill="1" applyBorder="1" applyAlignment="1">
      <alignment/>
    </xf>
    <xf numFmtId="49" fontId="0" fillId="13" borderId="159" xfId="0" applyNumberFormat="1" applyFont="1" applyFill="1" applyBorder="1" applyAlignment="1">
      <alignment horizontal="center"/>
    </xf>
    <xf numFmtId="0" fontId="0" fillId="13" borderId="160" xfId="0" applyFont="1" applyFill="1" applyBorder="1" applyAlignment="1">
      <alignment/>
    </xf>
    <xf numFmtId="49" fontId="0" fillId="13" borderId="161" xfId="0" applyNumberFormat="1" applyFont="1" applyFill="1" applyBorder="1" applyAlignment="1">
      <alignment horizontal="center"/>
    </xf>
    <xf numFmtId="49" fontId="0" fillId="13" borderId="109" xfId="0" applyNumberFormat="1" applyFill="1" applyBorder="1" applyAlignment="1">
      <alignment horizontal="center"/>
    </xf>
    <xf numFmtId="49" fontId="0" fillId="0" borderId="161" xfId="0" applyNumberFormat="1" applyFont="1" applyBorder="1" applyAlignment="1">
      <alignment horizontal="center"/>
    </xf>
    <xf numFmtId="0" fontId="0" fillId="13" borderId="162" xfId="0" applyFont="1" applyFill="1" applyBorder="1" applyAlignment="1">
      <alignment/>
    </xf>
    <xf numFmtId="0" fontId="0" fillId="13" borderId="162" xfId="0" applyFont="1" applyFill="1" applyBorder="1" applyAlignment="1">
      <alignment/>
    </xf>
    <xf numFmtId="3" fontId="33" fillId="0" borderId="88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 horizontal="left"/>
    </xf>
    <xf numFmtId="3" fontId="0" fillId="0" borderId="96" xfId="0" applyNumberFormat="1" applyFont="1" applyFill="1" applyBorder="1" applyAlignment="1">
      <alignment horizontal="right"/>
    </xf>
    <xf numFmtId="3" fontId="0" fillId="0" borderId="163" xfId="0" applyNumberFormat="1" applyFill="1" applyBorder="1" applyAlignment="1">
      <alignment horizontal="left"/>
    </xf>
    <xf numFmtId="49" fontId="41" fillId="0" borderId="97" xfId="0" applyNumberFormat="1" applyFont="1" applyFill="1" applyBorder="1" applyAlignment="1">
      <alignment horizontal="center"/>
    </xf>
    <xf numFmtId="3" fontId="44" fillId="0" borderId="103" xfId="0" applyNumberFormat="1" applyFont="1" applyFill="1" applyBorder="1" applyAlignment="1">
      <alignment/>
    </xf>
    <xf numFmtId="3" fontId="0" fillId="0" borderId="110" xfId="0" applyNumberFormat="1" applyFill="1" applyBorder="1" applyAlignment="1">
      <alignment horizontal="left"/>
    </xf>
    <xf numFmtId="3" fontId="0" fillId="0" borderId="158" xfId="0" applyNumberFormat="1" applyFont="1" applyFill="1" applyBorder="1" applyAlignment="1">
      <alignment/>
    </xf>
    <xf numFmtId="3" fontId="49" fillId="0" borderId="158" xfId="0" applyNumberFormat="1" applyFont="1" applyFill="1" applyBorder="1" applyAlignment="1">
      <alignment/>
    </xf>
    <xf numFmtId="3" fontId="33" fillId="0" borderId="158" xfId="0" applyNumberFormat="1" applyFont="1" applyFill="1" applyBorder="1" applyAlignment="1">
      <alignment/>
    </xf>
    <xf numFmtId="3" fontId="24" fillId="0" borderId="163" xfId="0" applyNumberFormat="1" applyFont="1" applyFill="1" applyBorder="1" applyAlignment="1">
      <alignment horizontal="left" wrapText="1"/>
    </xf>
    <xf numFmtId="49" fontId="48" fillId="0" borderId="97" xfId="0" applyNumberFormat="1" applyFont="1" applyFill="1" applyBorder="1" applyAlignment="1">
      <alignment horizontal="center"/>
    </xf>
    <xf numFmtId="49" fontId="48" fillId="0" borderId="104" xfId="0" applyNumberFormat="1" applyFont="1" applyFill="1" applyBorder="1" applyAlignment="1">
      <alignment horizontal="center"/>
    </xf>
    <xf numFmtId="3" fontId="57" fillId="0" borderId="93" xfId="0" applyNumberFormat="1" applyFont="1" applyFill="1" applyBorder="1" applyAlignment="1">
      <alignment horizontal="right"/>
    </xf>
    <xf numFmtId="3" fontId="49" fillId="23" borderId="103" xfId="0" applyNumberFormat="1" applyFont="1" applyFill="1" applyBorder="1" applyAlignment="1">
      <alignment/>
    </xf>
    <xf numFmtId="3" fontId="31" fillId="23" borderId="158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 horizontal="right"/>
    </xf>
    <xf numFmtId="49" fontId="54" fillId="0" borderId="11" xfId="0" applyNumberFormat="1" applyFont="1" applyFill="1" applyBorder="1" applyAlignment="1">
      <alignment horizontal="center"/>
    </xf>
    <xf numFmtId="9" fontId="0" fillId="0" borderId="96" xfId="48" applyFont="1" applyFill="1" applyBorder="1" applyAlignment="1" applyProtection="1">
      <alignment/>
      <protection/>
    </xf>
    <xf numFmtId="3" fontId="0" fillId="13" borderId="92" xfId="0" applyNumberFormat="1" applyFill="1" applyBorder="1" applyAlignment="1">
      <alignment horizontal="left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0" fillId="13" borderId="163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49" fontId="0" fillId="0" borderId="66" xfId="0" applyNumberFormat="1" applyFill="1" applyBorder="1" applyAlignment="1">
      <alignment horizontal="center"/>
    </xf>
    <xf numFmtId="0" fontId="24" fillId="0" borderId="93" xfId="0" applyFont="1" applyFill="1" applyBorder="1" applyAlignment="1">
      <alignment/>
    </xf>
    <xf numFmtId="49" fontId="0" fillId="0" borderId="66" xfId="0" applyNumberFormat="1" applyFont="1" applyFill="1" applyBorder="1" applyAlignment="1">
      <alignment horizontal="center"/>
    </xf>
    <xf numFmtId="0" fontId="0" fillId="0" borderId="92" xfId="0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93" xfId="0" applyFont="1" applyFill="1" applyBorder="1" applyAlignment="1">
      <alignment/>
    </xf>
    <xf numFmtId="49" fontId="0" fillId="0" borderId="69" xfId="48" applyNumberFormat="1" applyFont="1" applyFill="1" applyBorder="1" applyAlignment="1" applyProtection="1">
      <alignment horizontal="center"/>
      <protection/>
    </xf>
    <xf numFmtId="0" fontId="0" fillId="0" borderId="96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9" fontId="0" fillId="0" borderId="66" xfId="48" applyNumberFormat="1" applyFont="1" applyFill="1" applyBorder="1" applyAlignment="1" applyProtection="1">
      <alignment horizontal="center"/>
      <protection/>
    </xf>
    <xf numFmtId="49" fontId="0" fillId="0" borderId="42" xfId="48" applyNumberFormat="1" applyFont="1" applyFill="1" applyBorder="1" applyAlignment="1" applyProtection="1">
      <alignment horizontal="center"/>
      <protection/>
    </xf>
    <xf numFmtId="0" fontId="24" fillId="0" borderId="110" xfId="0" applyFont="1" applyFill="1" applyBorder="1" applyAlignment="1">
      <alignment/>
    </xf>
    <xf numFmtId="0" fontId="23" fillId="0" borderId="0" xfId="0" applyFont="1" applyFill="1" applyAlignment="1">
      <alignment/>
    </xf>
    <xf numFmtId="0" fontId="31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6" fillId="0" borderId="0" xfId="0" applyFont="1" applyFill="1" applyBorder="1" applyAlignment="1">
      <alignment wrapText="1"/>
    </xf>
    <xf numFmtId="4" fontId="38" fillId="6" borderId="96" xfId="0" applyNumberFormat="1" applyFont="1" applyFill="1" applyBorder="1" applyAlignment="1">
      <alignment/>
    </xf>
    <xf numFmtId="4" fontId="0" fillId="0" borderId="93" xfId="0" applyNumberFormat="1" applyFont="1" applyBorder="1" applyAlignment="1">
      <alignment/>
    </xf>
    <xf numFmtId="4" fontId="37" fillId="6" borderId="105" xfId="0" applyNumberFormat="1" applyFont="1" applyFill="1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45" xfId="0" applyFill="1" applyBorder="1" applyAlignment="1">
      <alignment horizontal="left"/>
    </xf>
    <xf numFmtId="0" fontId="0" fillId="0" borderId="97" xfId="0" applyFill="1" applyBorder="1" applyAlignment="1">
      <alignment/>
    </xf>
    <xf numFmtId="3" fontId="0" fillId="0" borderId="68" xfId="0" applyNumberFormat="1" applyFont="1" applyFill="1" applyBorder="1" applyAlignment="1">
      <alignment horizontal="center"/>
    </xf>
    <xf numFmtId="49" fontId="26" fillId="0" borderId="23" xfId="0" applyNumberFormat="1" applyFont="1" applyFill="1" applyBorder="1" applyAlignment="1" applyProtection="1">
      <alignment horizontal="center"/>
      <protection locked="0"/>
    </xf>
    <xf numFmtId="49" fontId="28" fillId="6" borderId="112" xfId="48" applyNumberFormat="1" applyFont="1" applyFill="1" applyBorder="1" applyAlignment="1" applyProtection="1">
      <alignment horizontal="center"/>
      <protection/>
    </xf>
    <xf numFmtId="49" fontId="0" fillId="0" borderId="164" xfId="0" applyNumberForma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3" fontId="32" fillId="6" borderId="33" xfId="0" applyNumberFormat="1" applyFont="1" applyFill="1" applyBorder="1" applyAlignment="1">
      <alignment horizontal="center"/>
    </xf>
    <xf numFmtId="3" fontId="33" fillId="0" borderId="163" xfId="0" applyNumberFormat="1" applyFont="1" applyFill="1" applyBorder="1" applyAlignment="1">
      <alignment horizontal="left"/>
    </xf>
    <xf numFmtId="49" fontId="60" fillId="0" borderId="97" xfId="0" applyNumberFormat="1" applyFont="1" applyFill="1" applyBorder="1" applyAlignment="1">
      <alignment horizontal="center"/>
    </xf>
    <xf numFmtId="3" fontId="57" fillId="0" borderId="109" xfId="0" applyNumberFormat="1" applyFont="1" applyFill="1" applyBorder="1" applyAlignment="1">
      <alignment horizontal="left"/>
    </xf>
    <xf numFmtId="3" fontId="57" fillId="0" borderId="158" xfId="0" applyNumberFormat="1" applyFont="1" applyFill="1" applyBorder="1" applyAlignment="1">
      <alignment/>
    </xf>
    <xf numFmtId="3" fontId="61" fillId="23" borderId="158" xfId="0" applyNumberFormat="1" applyFont="1" applyFill="1" applyBorder="1" applyAlignment="1">
      <alignment/>
    </xf>
    <xf numFmtId="3" fontId="57" fillId="0" borderId="96" xfId="0" applyNumberFormat="1" applyFont="1" applyFill="1" applyBorder="1" applyAlignment="1">
      <alignment horizontal="right"/>
    </xf>
    <xf numFmtId="0" fontId="57" fillId="0" borderId="0" xfId="0" applyFont="1" applyBorder="1" applyAlignment="1">
      <alignment/>
    </xf>
    <xf numFmtId="49" fontId="48" fillId="0" borderId="102" xfId="0" applyNumberFormat="1" applyFont="1" applyFill="1" applyBorder="1" applyAlignment="1">
      <alignment horizontal="center"/>
    </xf>
    <xf numFmtId="3" fontId="25" fillId="0" borderId="163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31" fillId="0" borderId="12" xfId="0" applyNumberFormat="1" applyFont="1" applyFill="1" applyBorder="1" applyAlignment="1">
      <alignment/>
    </xf>
    <xf numFmtId="3" fontId="0" fillId="0" borderId="119" xfId="0" applyNumberFormat="1" applyFont="1" applyFill="1" applyBorder="1" applyAlignment="1">
      <alignment horizontal="right"/>
    </xf>
    <xf numFmtId="49" fontId="43" fillId="0" borderId="102" xfId="0" applyNumberFormat="1" applyFont="1" applyFill="1" applyBorder="1" applyAlignment="1">
      <alignment horizontal="center"/>
    </xf>
    <xf numFmtId="3" fontId="0" fillId="0" borderId="103" xfId="0" applyNumberFormat="1" applyFont="1" applyFill="1" applyBorder="1" applyAlignment="1">
      <alignment/>
    </xf>
    <xf numFmtId="3" fontId="31" fillId="0" borderId="103" xfId="0" applyNumberFormat="1" applyFont="1" applyFill="1" applyBorder="1" applyAlignment="1">
      <alignment/>
    </xf>
    <xf numFmtId="0" fontId="41" fillId="6" borderId="45" xfId="0" applyFont="1" applyFill="1" applyBorder="1" applyAlignment="1">
      <alignment horizontal="left"/>
    </xf>
    <xf numFmtId="3" fontId="0" fillId="0" borderId="163" xfId="0" applyNumberFormat="1" applyFont="1" applyFill="1" applyBorder="1" applyAlignment="1">
      <alignment horizontal="left"/>
    </xf>
    <xf numFmtId="3" fontId="50" fillId="0" borderId="103" xfId="0" applyNumberFormat="1" applyFont="1" applyFill="1" applyBorder="1" applyAlignment="1">
      <alignment/>
    </xf>
    <xf numFmtId="3" fontId="40" fillId="0" borderId="103" xfId="0" applyNumberFormat="1" applyFont="1" applyFill="1" applyBorder="1" applyAlignment="1">
      <alignment/>
    </xf>
    <xf numFmtId="3" fontId="0" fillId="0" borderId="163" xfId="0" applyNumberFormat="1" applyFont="1" applyFill="1" applyBorder="1" applyAlignment="1">
      <alignment horizontal="left"/>
    </xf>
    <xf numFmtId="49" fontId="38" fillId="0" borderId="95" xfId="0" applyNumberFormat="1" applyFont="1" applyFill="1" applyBorder="1" applyAlignment="1">
      <alignment horizontal="center"/>
    </xf>
    <xf numFmtId="3" fontId="38" fillId="0" borderId="103" xfId="0" applyNumberFormat="1" applyFont="1" applyFill="1" applyBorder="1" applyAlignment="1">
      <alignment/>
    </xf>
    <xf numFmtId="49" fontId="23" fillId="0" borderId="92" xfId="0" applyNumberFormat="1" applyFont="1" applyFill="1" applyBorder="1" applyAlignment="1">
      <alignment horizontal="center"/>
    </xf>
    <xf numFmtId="0" fontId="31" fillId="0" borderId="163" xfId="0" applyFont="1" applyFill="1" applyBorder="1" applyAlignment="1">
      <alignment horizontal="left"/>
    </xf>
    <xf numFmtId="3" fontId="50" fillId="0" borderId="158" xfId="0" applyNumberFormat="1" applyFont="1" applyFill="1" applyBorder="1" applyAlignment="1">
      <alignment/>
    </xf>
    <xf numFmtId="3" fontId="40" fillId="0" borderId="158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left"/>
    </xf>
    <xf numFmtId="3" fontId="0" fillId="0" borderId="66" xfId="0" applyNumberFormat="1" applyFill="1" applyBorder="1" applyAlignment="1">
      <alignment horizontal="left"/>
    </xf>
    <xf numFmtId="49" fontId="41" fillId="0" borderId="104" xfId="0" applyNumberFormat="1" applyFont="1" applyFill="1" applyBorder="1" applyAlignment="1">
      <alignment horizontal="center"/>
    </xf>
    <xf numFmtId="49" fontId="23" fillId="0" borderId="97" xfId="0" applyNumberFormat="1" applyFont="1" applyFill="1" applyBorder="1" applyAlignment="1">
      <alignment horizontal="center"/>
    </xf>
    <xf numFmtId="0" fontId="31" fillId="0" borderId="98" xfId="0" applyFont="1" applyFill="1" applyBorder="1" applyAlignment="1">
      <alignment horizontal="left"/>
    </xf>
    <xf numFmtId="3" fontId="33" fillId="0" borderId="158" xfId="0" applyNumberFormat="1" applyFont="1" applyFill="1" applyBorder="1" applyAlignment="1">
      <alignment/>
    </xf>
    <xf numFmtId="3" fontId="31" fillId="0" borderId="158" xfId="0" applyNumberFormat="1" applyFont="1" applyFill="1" applyBorder="1" applyAlignment="1">
      <alignment/>
    </xf>
    <xf numFmtId="49" fontId="0" fillId="0" borderId="96" xfId="0" applyNumberFormat="1" applyFont="1" applyFill="1" applyBorder="1" applyAlignment="1">
      <alignment horizontal="right"/>
    </xf>
    <xf numFmtId="3" fontId="0" fillId="0" borderId="165" xfId="0" applyNumberFormat="1" applyFill="1" applyBorder="1" applyAlignment="1">
      <alignment horizontal="left"/>
    </xf>
    <xf numFmtId="3" fontId="23" fillId="0" borderId="158" xfId="0" applyNumberFormat="1" applyFont="1" applyFill="1" applyBorder="1" applyAlignment="1">
      <alignment/>
    </xf>
    <xf numFmtId="3" fontId="0" fillId="0" borderId="158" xfId="0" applyNumberFormat="1" applyFont="1" applyFill="1" applyBorder="1" applyAlignment="1">
      <alignment/>
    </xf>
    <xf numFmtId="3" fontId="0" fillId="0" borderId="110" xfId="0" applyNumberFormat="1" applyFont="1" applyFill="1" applyBorder="1" applyAlignment="1">
      <alignment horizontal="left"/>
    </xf>
    <xf numFmtId="3" fontId="0" fillId="0" borderId="98" xfId="0" applyNumberFormat="1" applyFont="1" applyFill="1" applyBorder="1" applyAlignment="1">
      <alignment horizontal="left"/>
    </xf>
    <xf numFmtId="3" fontId="0" fillId="0" borderId="98" xfId="0" applyNumberFormat="1" applyFill="1" applyBorder="1" applyAlignment="1">
      <alignment horizontal="left"/>
    </xf>
    <xf numFmtId="3" fontId="0" fillId="0" borderId="24" xfId="0" applyNumberFormat="1" applyFill="1" applyBorder="1" applyAlignment="1">
      <alignment horizontal="left"/>
    </xf>
    <xf numFmtId="3" fontId="0" fillId="0" borderId="166" xfId="0" applyNumberFormat="1" applyFill="1" applyBorder="1" applyAlignment="1">
      <alignment horizontal="left"/>
    </xf>
    <xf numFmtId="3" fontId="0" fillId="0" borderId="166" xfId="0" applyNumberFormat="1" applyFont="1" applyFill="1" applyBorder="1" applyAlignment="1">
      <alignment horizontal="left"/>
    </xf>
    <xf numFmtId="3" fontId="23" fillId="0" borderId="103" xfId="0" applyNumberFormat="1" applyFont="1" applyFill="1" applyBorder="1" applyAlignment="1">
      <alignment/>
    </xf>
    <xf numFmtId="3" fontId="0" fillId="0" borderId="158" xfId="0" applyNumberFormat="1" applyFont="1" applyFill="1" applyBorder="1" applyAlignment="1">
      <alignment horizontal="right"/>
    </xf>
    <xf numFmtId="3" fontId="31" fillId="0" borderId="158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 horizontal="left"/>
    </xf>
    <xf numFmtId="0" fontId="42" fillId="0" borderId="45" xfId="0" applyFont="1" applyFill="1" applyBorder="1" applyAlignment="1">
      <alignment horizontal="left"/>
    </xf>
    <xf numFmtId="0" fontId="0" fillId="0" borderId="98" xfId="0" applyFont="1" applyFill="1" applyBorder="1" applyAlignment="1">
      <alignment horizontal="left"/>
    </xf>
    <xf numFmtId="49" fontId="43" fillId="0" borderId="97" xfId="0" applyNumberFormat="1" applyFont="1" applyFill="1" applyBorder="1" applyAlignment="1">
      <alignment horizontal="center"/>
    </xf>
    <xf numFmtId="0" fontId="50" fillId="0" borderId="98" xfId="0" applyFont="1" applyFill="1" applyBorder="1" applyAlignment="1">
      <alignment horizontal="left"/>
    </xf>
    <xf numFmtId="49" fontId="43" fillId="0" borderId="104" xfId="0" applyNumberFormat="1" applyFont="1" applyFill="1" applyBorder="1" applyAlignment="1">
      <alignment horizontal="center"/>
    </xf>
    <xf numFmtId="3" fontId="0" fillId="0" borderId="75" xfId="0" applyNumberFormat="1" applyFont="1" applyFill="1" applyBorder="1" applyAlignment="1">
      <alignment horizontal="left"/>
    </xf>
    <xf numFmtId="3" fontId="0" fillId="0" borderId="93" xfId="0" applyNumberFormat="1" applyFont="1" applyFill="1" applyBorder="1" applyAlignment="1">
      <alignment horizontal="right"/>
    </xf>
    <xf numFmtId="49" fontId="41" fillId="0" borderId="167" xfId="0" applyNumberFormat="1" applyFont="1" applyFill="1" applyBorder="1" applyAlignment="1">
      <alignment horizontal="center"/>
    </xf>
    <xf numFmtId="3" fontId="0" fillId="0" borderId="139" xfId="0" applyNumberFormat="1" applyFont="1" applyFill="1" applyBorder="1" applyAlignment="1">
      <alignment horizontal="left"/>
    </xf>
    <xf numFmtId="3" fontId="50" fillId="0" borderId="168" xfId="0" applyNumberFormat="1" applyFont="1" applyFill="1" applyBorder="1" applyAlignment="1">
      <alignment/>
    </xf>
    <xf numFmtId="3" fontId="40" fillId="0" borderId="168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94" xfId="0" applyNumberFormat="1" applyFill="1" applyBorder="1" applyAlignment="1">
      <alignment horizontal="left"/>
    </xf>
    <xf numFmtId="3" fontId="0" fillId="0" borderId="68" xfId="0" applyNumberFormat="1" applyFont="1" applyFill="1" applyBorder="1" applyAlignment="1">
      <alignment horizontal="left"/>
    </xf>
    <xf numFmtId="49" fontId="41" fillId="0" borderId="92" xfId="0" applyNumberFormat="1" applyFont="1" applyFill="1" applyBorder="1" applyAlignment="1">
      <alignment horizontal="center"/>
    </xf>
    <xf numFmtId="3" fontId="49" fillId="0" borderId="103" xfId="0" applyNumberFormat="1" applyFont="1" applyFill="1" applyBorder="1" applyAlignment="1">
      <alignment/>
    </xf>
    <xf numFmtId="3" fontId="55" fillId="0" borderId="158" xfId="0" applyNumberFormat="1" applyFont="1" applyFill="1" applyBorder="1" applyAlignment="1">
      <alignment/>
    </xf>
    <xf numFmtId="3" fontId="40" fillId="0" borderId="96" xfId="0" applyNumberFormat="1" applyFont="1" applyFill="1" applyBorder="1" applyAlignment="1">
      <alignment horizontal="right"/>
    </xf>
    <xf numFmtId="3" fontId="50" fillId="0" borderId="42" xfId="0" applyNumberFormat="1" applyFont="1" applyFill="1" applyBorder="1" applyAlignment="1">
      <alignment horizontal="left"/>
    </xf>
    <xf numFmtId="3" fontId="50" fillId="0" borderId="98" xfId="0" applyNumberFormat="1" applyFont="1" applyFill="1" applyBorder="1" applyAlignment="1">
      <alignment horizontal="left"/>
    </xf>
    <xf numFmtId="0" fontId="42" fillId="0" borderId="98" xfId="0" applyFont="1" applyFill="1" applyBorder="1" applyAlignment="1">
      <alignment horizontal="left"/>
    </xf>
    <xf numFmtId="49" fontId="38" fillId="24" borderId="95" xfId="0" applyNumberFormat="1" applyFont="1" applyFill="1" applyBorder="1" applyAlignment="1">
      <alignment horizontal="center"/>
    </xf>
    <xf numFmtId="0" fontId="41" fillId="24" borderId="45" xfId="0" applyFont="1" applyFill="1" applyBorder="1" applyAlignment="1">
      <alignment horizontal="left"/>
    </xf>
    <xf numFmtId="3" fontId="38" fillId="24" borderId="103" xfId="0" applyNumberFormat="1" applyFont="1" applyFill="1" applyBorder="1" applyAlignment="1">
      <alignment/>
    </xf>
    <xf numFmtId="3" fontId="23" fillId="24" borderId="96" xfId="0" applyNumberFormat="1" applyFont="1" applyFill="1" applyBorder="1" applyAlignment="1">
      <alignment horizontal="right"/>
    </xf>
    <xf numFmtId="0" fontId="49" fillId="24" borderId="45" xfId="0" applyFont="1" applyFill="1" applyBorder="1" applyAlignment="1">
      <alignment horizontal="left"/>
    </xf>
    <xf numFmtId="0" fontId="42" fillId="24" borderId="45" xfId="0" applyFont="1" applyFill="1" applyBorder="1" applyAlignment="1">
      <alignment horizontal="left"/>
    </xf>
    <xf numFmtId="49" fontId="23" fillId="0" borderId="169" xfId="0" applyNumberFormat="1" applyFont="1" applyFill="1" applyBorder="1" applyAlignment="1">
      <alignment horizontal="center"/>
    </xf>
    <xf numFmtId="0" fontId="50" fillId="24" borderId="45" xfId="0" applyFont="1" applyFill="1" applyBorder="1" applyAlignment="1">
      <alignment horizontal="left"/>
    </xf>
    <xf numFmtId="3" fontId="0" fillId="0" borderId="170" xfId="0" applyNumberFormat="1" applyFill="1" applyBorder="1" applyAlignment="1">
      <alignment horizontal="left"/>
    </xf>
    <xf numFmtId="3" fontId="0" fillId="0" borderId="116" xfId="0" applyNumberFormat="1" applyFill="1" applyBorder="1" applyAlignment="1">
      <alignment horizontal="left"/>
    </xf>
    <xf numFmtId="49" fontId="23" fillId="0" borderId="2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49" fontId="23" fillId="0" borderId="104" xfId="0" applyNumberFormat="1" applyFont="1" applyFill="1" applyBorder="1" applyAlignment="1">
      <alignment horizontal="center"/>
    </xf>
    <xf numFmtId="3" fontId="0" fillId="0" borderId="103" xfId="0" applyNumberFormat="1" applyFont="1" applyFill="1" applyBorder="1" applyAlignment="1">
      <alignment/>
    </xf>
    <xf numFmtId="3" fontId="31" fillId="0" borderId="103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 horizontal="left"/>
    </xf>
    <xf numFmtId="3" fontId="0" fillId="0" borderId="96" xfId="0" applyNumberForma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45" fillId="0" borderId="0" xfId="0" applyFont="1" applyBorder="1" applyAlignment="1">
      <alignment horizontal="right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49" fontId="0" fillId="0" borderId="171" xfId="0" applyNumberFormat="1" applyFont="1" applyBorder="1" applyAlignment="1">
      <alignment horizontal="center"/>
    </xf>
    <xf numFmtId="49" fontId="0" fillId="0" borderId="163" xfId="0" applyNumberFormat="1" applyFont="1" applyBorder="1" applyAlignment="1">
      <alignment horizontal="center"/>
    </xf>
    <xf numFmtId="49" fontId="0" fillId="0" borderId="163" xfId="0" applyNumberFormat="1" applyBorder="1" applyAlignment="1">
      <alignment horizontal="center"/>
    </xf>
    <xf numFmtId="49" fontId="0" fillId="0" borderId="163" xfId="0" applyNumberFormat="1" applyFill="1" applyBorder="1" applyAlignment="1">
      <alignment horizontal="center"/>
    </xf>
    <xf numFmtId="49" fontId="0" fillId="0" borderId="172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0" fillId="0" borderId="98" xfId="0" applyNumberFormat="1" applyFont="1" applyBorder="1" applyAlignment="1">
      <alignment horizontal="center"/>
    </xf>
    <xf numFmtId="49" fontId="0" fillId="0" borderId="89" xfId="0" applyNumberFormat="1" applyFont="1" applyBorder="1" applyAlignment="1">
      <alignment horizontal="center"/>
    </xf>
    <xf numFmtId="0" fontId="24" fillId="0" borderId="173" xfId="0" applyFont="1" applyBorder="1" applyAlignment="1">
      <alignment/>
    </xf>
    <xf numFmtId="0" fontId="24" fillId="0" borderId="110" xfId="0" applyFont="1" applyFill="1" applyBorder="1" applyAlignment="1">
      <alignment/>
    </xf>
    <xf numFmtId="0" fontId="24" fillId="21" borderId="110" xfId="0" applyFont="1" applyFill="1" applyBorder="1" applyAlignment="1">
      <alignment/>
    </xf>
    <xf numFmtId="0" fontId="58" fillId="0" borderId="110" xfId="0" applyFont="1" applyBorder="1" applyAlignment="1">
      <alignment/>
    </xf>
    <xf numFmtId="0" fontId="24" fillId="0" borderId="110" xfId="0" applyFont="1" applyFill="1" applyBorder="1" applyAlignment="1">
      <alignment horizontal="left"/>
    </xf>
    <xf numFmtId="0" fontId="0" fillId="13" borderId="75" xfId="0" applyFill="1" applyBorder="1" applyAlignment="1">
      <alignment/>
    </xf>
    <xf numFmtId="3" fontId="33" fillId="0" borderId="14" xfId="0" applyNumberFormat="1" applyFont="1" applyFill="1" applyBorder="1" applyAlignment="1">
      <alignment horizontal="center"/>
    </xf>
    <xf numFmtId="3" fontId="33" fillId="0" borderId="15" xfId="0" applyNumberFormat="1" applyFont="1" applyFill="1" applyBorder="1" applyAlignment="1">
      <alignment horizontal="center"/>
    </xf>
    <xf numFmtId="3" fontId="33" fillId="0" borderId="82" xfId="0" applyNumberFormat="1" applyFont="1" applyFill="1" applyBorder="1" applyAlignment="1">
      <alignment horizontal="center"/>
    </xf>
    <xf numFmtId="3" fontId="33" fillId="0" borderId="125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33" fillId="0" borderId="42" xfId="0" applyNumberFormat="1" applyFont="1" applyFill="1" applyBorder="1" applyAlignment="1">
      <alignment horizontal="center"/>
    </xf>
    <xf numFmtId="3" fontId="0" fillId="0" borderId="82" xfId="0" applyNumberFormat="1" applyFill="1" applyBorder="1" applyAlignment="1">
      <alignment horizontal="center"/>
    </xf>
    <xf numFmtId="3" fontId="55" fillId="0" borderId="42" xfId="0" applyNumberFormat="1" applyFont="1" applyFill="1" applyBorder="1" applyAlignment="1">
      <alignment horizontal="center"/>
    </xf>
    <xf numFmtId="3" fontId="33" fillId="0" borderId="125" xfId="0" applyNumberFormat="1" applyFont="1" applyFill="1" applyBorder="1" applyAlignment="1">
      <alignment horizontal="center"/>
    </xf>
    <xf numFmtId="0" fontId="24" fillId="0" borderId="94" xfId="0" applyFont="1" applyFill="1" applyBorder="1" applyAlignment="1">
      <alignment/>
    </xf>
    <xf numFmtId="3" fontId="0" fillId="0" borderId="159" xfId="0" applyNumberFormat="1" applyFont="1" applyFill="1" applyBorder="1" applyAlignment="1">
      <alignment horizontal="center"/>
    </xf>
    <xf numFmtId="3" fontId="0" fillId="0" borderId="124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0" fillId="0" borderId="164" xfId="0" applyNumberFormat="1" applyFont="1" applyFill="1" applyBorder="1" applyAlignment="1">
      <alignment horizontal="center"/>
    </xf>
    <xf numFmtId="3" fontId="0" fillId="0" borderId="107" xfId="0" applyNumberFormat="1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25" fillId="0" borderId="110" xfId="0" applyNumberFormat="1" applyFont="1" applyFill="1" applyBorder="1" applyAlignment="1">
      <alignment horizontal="left"/>
    </xf>
    <xf numFmtId="3" fontId="0" fillId="0" borderId="107" xfId="0" applyNumberFormat="1" applyFont="1" applyFill="1" applyBorder="1" applyAlignment="1">
      <alignment horizontal="center"/>
    </xf>
    <xf numFmtId="0" fontId="18" fillId="13" borderId="13" xfId="0" applyFont="1" applyFill="1" applyBorder="1" applyAlignment="1" applyProtection="1">
      <alignment/>
      <protection/>
    </xf>
    <xf numFmtId="3" fontId="18" fillId="13" borderId="106" xfId="0" applyNumberFormat="1" applyFont="1" applyFill="1" applyBorder="1" applyAlignment="1" applyProtection="1">
      <alignment/>
      <protection/>
    </xf>
    <xf numFmtId="3" fontId="18" fillId="0" borderId="65" xfId="1" applyNumberFormat="1" applyFont="1" applyFill="1" applyBorder="1" applyAlignment="1" applyProtection="1">
      <alignment/>
      <protection/>
    </xf>
    <xf numFmtId="3" fontId="0" fillId="0" borderId="23" xfId="0" applyNumberFormat="1" applyFill="1" applyBorder="1" applyAlignment="1">
      <alignment horizontal="left"/>
    </xf>
    <xf numFmtId="0" fontId="62" fillId="12" borderId="33" xfId="0" applyFont="1" applyFill="1" applyBorder="1" applyAlignment="1">
      <alignment/>
    </xf>
    <xf numFmtId="3" fontId="62" fillId="12" borderId="105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59" fillId="0" borderId="0" xfId="0" applyFont="1" applyFill="1" applyAlignment="1">
      <alignment/>
    </xf>
    <xf numFmtId="0" fontId="63" fillId="0" borderId="0" xfId="0" applyFont="1" applyFill="1" applyAlignment="1">
      <alignment/>
    </xf>
    <xf numFmtId="3" fontId="63" fillId="0" borderId="0" xfId="0" applyNumberFormat="1" applyFont="1" applyFill="1" applyAlignment="1">
      <alignment/>
    </xf>
    <xf numFmtId="0" fontId="64" fillId="0" borderId="0" xfId="0" applyFont="1" applyBorder="1" applyAlignment="1">
      <alignment horizontal="center"/>
    </xf>
    <xf numFmtId="0" fontId="64" fillId="13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66" fillId="0" borderId="0" xfId="0" applyFont="1" applyFill="1" applyBorder="1" applyAlignment="1">
      <alignment wrapText="1"/>
    </xf>
    <xf numFmtId="0" fontId="63" fillId="0" borderId="0" xfId="0" applyFont="1" applyBorder="1" applyAlignment="1">
      <alignment/>
    </xf>
    <xf numFmtId="3" fontId="63" fillId="13" borderId="0" xfId="0" applyNumberFormat="1" applyFont="1" applyFill="1" applyBorder="1" applyAlignment="1">
      <alignment horizontal="center"/>
    </xf>
    <xf numFmtId="0" fontId="67" fillId="0" borderId="12" xfId="0" applyFont="1" applyBorder="1" applyAlignment="1">
      <alignment/>
    </xf>
    <xf numFmtId="3" fontId="67" fillId="13" borderId="106" xfId="0" applyNumberFormat="1" applyFont="1" applyFill="1" applyBorder="1" applyAlignment="1">
      <alignment horizontal="center"/>
    </xf>
    <xf numFmtId="0" fontId="67" fillId="0" borderId="21" xfId="0" applyFont="1" applyBorder="1" applyAlignment="1">
      <alignment/>
    </xf>
    <xf numFmtId="3" fontId="67" fillId="13" borderId="13" xfId="0" applyNumberFormat="1" applyFont="1" applyFill="1" applyBorder="1" applyAlignment="1">
      <alignment horizontal="center"/>
    </xf>
    <xf numFmtId="0" fontId="67" fillId="0" borderId="21" xfId="0" applyFont="1" applyFill="1" applyBorder="1" applyAlignment="1">
      <alignment/>
    </xf>
    <xf numFmtId="3" fontId="67" fillId="0" borderId="13" xfId="0" applyNumberFormat="1" applyFont="1" applyFill="1" applyBorder="1" applyAlignment="1">
      <alignment horizontal="center"/>
    </xf>
    <xf numFmtId="3" fontId="67" fillId="0" borderId="21" xfId="0" applyNumberFormat="1" applyFont="1" applyFill="1" applyBorder="1" applyAlignment="1" applyProtection="1">
      <alignment/>
      <protection/>
    </xf>
    <xf numFmtId="0" fontId="65" fillId="6" borderId="33" xfId="0" applyFont="1" applyFill="1" applyBorder="1" applyAlignment="1">
      <alignment/>
    </xf>
    <xf numFmtId="3" fontId="65" fillId="6" borderId="105" xfId="0" applyNumberFormat="1" applyFont="1" applyFill="1" applyBorder="1" applyAlignment="1">
      <alignment horizontal="center"/>
    </xf>
    <xf numFmtId="0" fontId="62" fillId="12" borderId="174" xfId="0" applyFont="1" applyFill="1" applyBorder="1" applyAlignment="1">
      <alignment/>
    </xf>
    <xf numFmtId="3" fontId="62" fillId="12" borderId="175" xfId="0" applyNumberFormat="1" applyFont="1" applyFill="1" applyBorder="1" applyAlignment="1">
      <alignment horizontal="center"/>
    </xf>
    <xf numFmtId="3" fontId="65" fillId="25" borderId="105" xfId="0" applyNumberFormat="1" applyFont="1" applyFill="1" applyBorder="1" applyAlignment="1">
      <alignment horizontal="center"/>
    </xf>
    <xf numFmtId="0" fontId="67" fillId="0" borderId="12" xfId="0" applyFont="1" applyFill="1" applyBorder="1" applyAlignment="1">
      <alignment/>
    </xf>
    <xf numFmtId="0" fontId="67" fillId="0" borderId="90" xfId="0" applyFont="1" applyBorder="1" applyAlignment="1">
      <alignment/>
    </xf>
    <xf numFmtId="3" fontId="67" fillId="13" borderId="91" xfId="0" applyNumberFormat="1" applyFont="1" applyFill="1" applyBorder="1" applyAlignment="1">
      <alignment horizontal="center"/>
    </xf>
    <xf numFmtId="3" fontId="67" fillId="0" borderId="13" xfId="0" applyNumberFormat="1" applyFont="1" applyBorder="1" applyAlignment="1">
      <alignment horizontal="center"/>
    </xf>
    <xf numFmtId="0" fontId="67" fillId="0" borderId="21" xfId="0" applyFont="1" applyFill="1" applyBorder="1" applyAlignment="1">
      <alignment horizontal="left"/>
    </xf>
    <xf numFmtId="0" fontId="67" fillId="0" borderId="90" xfId="0" applyFont="1" applyFill="1" applyBorder="1" applyAlignment="1">
      <alignment horizontal="left"/>
    </xf>
    <xf numFmtId="3" fontId="67" fillId="0" borderId="91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18" fillId="26" borderId="13" xfId="0" applyFont="1" applyFill="1" applyBorder="1" applyAlignment="1" applyProtection="1">
      <alignment/>
      <protection/>
    </xf>
    <xf numFmtId="3" fontId="18" fillId="26" borderId="106" xfId="0" applyNumberFormat="1" applyFont="1" applyFill="1" applyBorder="1" applyAlignment="1" applyProtection="1">
      <alignment/>
      <protection/>
    </xf>
    <xf numFmtId="3" fontId="39" fillId="27" borderId="176" xfId="1" applyNumberFormat="1" applyFont="1" applyFill="1" applyBorder="1" applyAlignment="1" applyProtection="1">
      <alignment horizontal="left"/>
      <protection/>
    </xf>
    <xf numFmtId="3" fontId="40" fillId="28" borderId="13" xfId="0" applyNumberFormat="1" applyFont="1" applyFill="1" applyBorder="1" applyAlignment="1" applyProtection="1">
      <alignment horizontal="left"/>
      <protection/>
    </xf>
    <xf numFmtId="3" fontId="39" fillId="27" borderId="65" xfId="1" applyNumberFormat="1" applyFont="1" applyFill="1" applyBorder="1" applyAlignment="1" applyProtection="1">
      <alignment horizontal="left"/>
      <protection/>
    </xf>
    <xf numFmtId="3" fontId="40" fillId="28" borderId="177" xfId="0" applyNumberFormat="1" applyFont="1" applyFill="1" applyBorder="1" applyAlignment="1" applyProtection="1">
      <alignment horizontal="left"/>
      <protection/>
    </xf>
    <xf numFmtId="3" fontId="40" fillId="27" borderId="65" xfId="1" applyNumberFormat="1" applyFont="1" applyFill="1" applyBorder="1" applyAlignment="1" applyProtection="1">
      <alignment horizontal="left"/>
      <protection/>
    </xf>
    <xf numFmtId="3" fontId="40" fillId="28" borderId="178" xfId="0" applyNumberFormat="1" applyFont="1" applyFill="1" applyBorder="1" applyAlignment="1" applyProtection="1">
      <alignment horizontal="left"/>
      <protection/>
    </xf>
    <xf numFmtId="49" fontId="40" fillId="28" borderId="13" xfId="0" applyNumberFormat="1" applyFont="1" applyFill="1" applyBorder="1" applyAlignment="1" applyProtection="1">
      <alignment horizontal="left"/>
      <protection/>
    </xf>
    <xf numFmtId="3" fontId="40" fillId="28" borderId="91" xfId="0" applyNumberFormat="1" applyFont="1" applyFill="1" applyBorder="1" applyAlignment="1" applyProtection="1">
      <alignment horizontal="left"/>
      <protection/>
    </xf>
    <xf numFmtId="164" fontId="18" fillId="13" borderId="179" xfId="34" applyFont="1" applyFill="1" applyBorder="1" applyAlignment="1" applyProtection="1">
      <alignment/>
      <protection/>
    </xf>
    <xf numFmtId="3" fontId="18" fillId="0" borderId="176" xfId="1" applyNumberFormat="1" applyFont="1" applyFill="1" applyBorder="1" applyAlignment="1" applyProtection="1">
      <alignment/>
      <protection/>
    </xf>
    <xf numFmtId="0" fontId="31" fillId="13" borderId="20" xfId="0" applyFont="1" applyFill="1" applyBorder="1" applyAlignment="1" applyProtection="1">
      <alignment/>
      <protection/>
    </xf>
    <xf numFmtId="3" fontId="31" fillId="0" borderId="13" xfId="0" applyNumberFormat="1" applyFont="1" applyFill="1" applyBorder="1" applyAlignment="1" applyProtection="1">
      <alignment/>
      <protection/>
    </xf>
    <xf numFmtId="0" fontId="18" fillId="13" borderId="53" xfId="1" applyNumberFormat="1" applyFont="1" applyFill="1" applyBorder="1" applyAlignment="1" applyProtection="1">
      <alignment/>
      <protection/>
    </xf>
    <xf numFmtId="0" fontId="18" fillId="13" borderId="20" xfId="1" applyNumberFormat="1" applyFont="1" applyFill="1" applyBorder="1" applyAlignment="1" applyProtection="1">
      <alignment/>
      <protection/>
    </xf>
    <xf numFmtId="3" fontId="31" fillId="0" borderId="177" xfId="0" applyNumberFormat="1" applyFont="1" applyFill="1" applyBorder="1" applyAlignment="1" applyProtection="1">
      <alignment/>
      <protection/>
    </xf>
    <xf numFmtId="9" fontId="31" fillId="0" borderId="13" xfId="48" applyFont="1" applyFill="1" applyBorder="1" applyAlignment="1" applyProtection="1">
      <alignment/>
      <protection/>
    </xf>
    <xf numFmtId="3" fontId="31" fillId="0" borderId="65" xfId="1" applyNumberFormat="1" applyFont="1" applyFill="1" applyBorder="1" applyAlignment="1" applyProtection="1">
      <alignment/>
      <protection/>
    </xf>
    <xf numFmtId="3" fontId="31" fillId="0" borderId="13" xfId="0" applyNumberFormat="1" applyFont="1" applyFill="1" applyBorder="1" applyAlignment="1" applyProtection="1">
      <alignment horizontal="left"/>
      <protection/>
    </xf>
    <xf numFmtId="3" fontId="31" fillId="0" borderId="178" xfId="0" applyNumberFormat="1" applyFont="1" applyFill="1" applyBorder="1" applyAlignment="1" applyProtection="1">
      <alignment horizontal="left"/>
      <protection/>
    </xf>
    <xf numFmtId="0" fontId="31" fillId="0" borderId="180" xfId="0" applyFont="1" applyBorder="1" applyAlignment="1">
      <alignment/>
    </xf>
    <xf numFmtId="49" fontId="31" fillId="0" borderId="13" xfId="0" applyNumberFormat="1" applyFont="1" applyFill="1" applyBorder="1" applyAlignment="1" applyProtection="1">
      <alignment/>
      <protection/>
    </xf>
    <xf numFmtId="0" fontId="31" fillId="0" borderId="28" xfId="0" applyFont="1" applyBorder="1" applyAlignment="1">
      <alignment/>
    </xf>
    <xf numFmtId="0" fontId="31" fillId="0" borderId="91" xfId="0" applyFont="1" applyFill="1" applyBorder="1" applyAlignment="1">
      <alignment/>
    </xf>
    <xf numFmtId="3" fontId="68" fillId="6" borderId="181" xfId="4" applyNumberFormat="1" applyFont="1" applyFill="1" applyBorder="1" applyAlignment="1" applyProtection="1">
      <alignment horizontal="center"/>
      <protection/>
    </xf>
    <xf numFmtId="3" fontId="37" fillId="13" borderId="0" xfId="1" applyNumberFormat="1" applyFont="1" applyFill="1" applyBorder="1" applyAlignment="1" applyProtection="1">
      <alignment horizontal="center"/>
      <protection/>
    </xf>
    <xf numFmtId="3" fontId="68" fillId="6" borderId="182" xfId="4" applyNumberFormat="1" applyFont="1" applyFill="1" applyBorder="1" applyAlignment="1" applyProtection="1">
      <alignment horizontal="center"/>
      <protection/>
    </xf>
    <xf numFmtId="3" fontId="69" fillId="13" borderId="168" xfId="4" applyNumberFormat="1" applyFont="1" applyFill="1" applyBorder="1" applyAlignment="1" applyProtection="1">
      <alignment horizontal="center"/>
      <protection/>
    </xf>
    <xf numFmtId="3" fontId="37" fillId="13" borderId="0" xfId="0" applyNumberFormat="1" applyFont="1" applyFill="1" applyBorder="1" applyAlignment="1" applyProtection="1">
      <alignment horizontal="center"/>
      <protection/>
    </xf>
    <xf numFmtId="3" fontId="37" fillId="13" borderId="0" xfId="2" applyNumberFormat="1" applyFont="1" applyFill="1" applyBorder="1" applyAlignment="1" applyProtection="1">
      <alignment horizontal="center"/>
      <protection/>
    </xf>
    <xf numFmtId="3" fontId="69" fillId="13" borderId="103" xfId="4" applyNumberFormat="1" applyFont="1" applyFill="1" applyBorder="1" applyAlignment="1" applyProtection="1">
      <alignment horizontal="center"/>
      <protection/>
    </xf>
    <xf numFmtId="0" fontId="68" fillId="6" borderId="183" xfId="4" applyNumberFormat="1" applyFont="1" applyFill="1" applyBorder="1" applyAlignment="1" applyProtection="1">
      <alignment horizontal="center"/>
      <protection/>
    </xf>
    <xf numFmtId="3" fontId="68" fillId="6" borderId="183" xfId="4" applyNumberFormat="1" applyFont="1" applyFill="1" applyBorder="1" applyAlignment="1" applyProtection="1">
      <alignment horizontal="center"/>
      <protection/>
    </xf>
    <xf numFmtId="3" fontId="69" fillId="13" borderId="158" xfId="4" applyNumberFormat="1" applyFont="1" applyFill="1" applyBorder="1" applyAlignment="1" applyProtection="1">
      <alignment horizontal="center"/>
      <protection/>
    </xf>
    <xf numFmtId="3" fontId="56" fillId="13" borderId="0" xfId="1" applyNumberFormat="1" applyFont="1" applyFill="1" applyBorder="1" applyAlignment="1" applyProtection="1">
      <alignment horizontal="center"/>
      <protection/>
    </xf>
    <xf numFmtId="3" fontId="69" fillId="13" borderId="184" xfId="4" applyNumberFormat="1" applyFont="1" applyFill="1" applyBorder="1" applyAlignment="1" applyProtection="1">
      <alignment horizontal="center"/>
      <protection/>
    </xf>
    <xf numFmtId="3" fontId="56" fillId="13" borderId="0" xfId="0" applyNumberFormat="1" applyFont="1" applyFill="1" applyBorder="1" applyAlignment="1" applyProtection="1">
      <alignment horizontal="center"/>
      <protection/>
    </xf>
    <xf numFmtId="3" fontId="69" fillId="0" borderId="183" xfId="4" applyNumberFormat="1" applyFont="1" applyFill="1" applyBorder="1" applyAlignment="1" applyProtection="1">
      <alignment horizontal="center"/>
      <protection/>
    </xf>
    <xf numFmtId="3" fontId="56" fillId="0" borderId="0" xfId="1" applyNumberFormat="1" applyFont="1" applyFill="1" applyBorder="1" applyAlignment="1" applyProtection="1">
      <alignment horizontal="center"/>
      <protection/>
    </xf>
    <xf numFmtId="3" fontId="69" fillId="0" borderId="168" xfId="4" applyNumberFormat="1" applyFont="1" applyFill="1" applyBorder="1" applyAlignment="1" applyProtection="1">
      <alignment horizontal="center"/>
      <protection/>
    </xf>
    <xf numFmtId="3" fontId="69" fillId="13" borderId="185" xfId="4" applyNumberFormat="1" applyFont="1" applyFill="1" applyBorder="1" applyAlignment="1" applyProtection="1">
      <alignment horizontal="center"/>
      <protection/>
    </xf>
    <xf numFmtId="3" fontId="69" fillId="13" borderId="186" xfId="4" applyNumberFormat="1" applyFont="1" applyFill="1" applyBorder="1" applyAlignment="1" applyProtection="1">
      <alignment horizontal="center"/>
      <protection/>
    </xf>
    <xf numFmtId="0" fontId="29" fillId="6" borderId="187" xfId="0" applyFont="1" applyFill="1" applyBorder="1" applyAlignment="1" applyProtection="1">
      <alignment horizontal="left"/>
      <protection/>
    </xf>
    <xf numFmtId="0" fontId="29" fillId="13" borderId="21" xfId="0" applyFont="1" applyFill="1" applyBorder="1" applyAlignment="1" applyProtection="1">
      <alignment horizontal="center"/>
      <protection/>
    </xf>
    <xf numFmtId="0" fontId="29" fillId="27" borderId="187" xfId="0" applyFont="1" applyFill="1" applyBorder="1" applyAlignment="1" applyProtection="1">
      <alignment horizontal="left"/>
      <protection/>
    </xf>
    <xf numFmtId="0" fontId="29" fillId="13" borderId="20" xfId="0" applyFont="1" applyFill="1" applyBorder="1" applyAlignment="1" applyProtection="1">
      <alignment horizontal="center"/>
      <protection/>
    </xf>
    <xf numFmtId="3" fontId="70" fillId="6" borderId="188" xfId="2" applyNumberFormat="1" applyFont="1" applyFill="1" applyBorder="1" applyAlignment="1" applyProtection="1">
      <alignment horizontal="center"/>
      <protection/>
    </xf>
    <xf numFmtId="3" fontId="29" fillId="13" borderId="0" xfId="0" applyNumberFormat="1" applyFont="1" applyFill="1" applyBorder="1" applyAlignment="1" applyProtection="1">
      <alignment horizontal="center"/>
      <protection/>
    </xf>
    <xf numFmtId="0" fontId="37" fillId="0" borderId="33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49" fontId="37" fillId="18" borderId="12" xfId="2" applyNumberFormat="1" applyFont="1" applyFill="1" applyBorder="1" applyAlignment="1" applyProtection="1">
      <alignment horizontal="center"/>
      <protection/>
    </xf>
    <xf numFmtId="0" fontId="56" fillId="13" borderId="0" xfId="0" applyFont="1" applyFill="1" applyBorder="1" applyAlignment="1">
      <alignment horizontal="center"/>
    </xf>
    <xf numFmtId="49" fontId="37" fillId="18" borderId="189" xfId="2" applyNumberFormat="1" applyFont="1" applyFill="1" applyBorder="1" applyAlignment="1" applyProtection="1">
      <alignment horizontal="center"/>
      <protection/>
    </xf>
    <xf numFmtId="3" fontId="37" fillId="13" borderId="12" xfId="0" applyNumberFormat="1" applyFont="1" applyFill="1" applyBorder="1" applyAlignment="1" applyProtection="1">
      <alignment/>
      <protection/>
    </xf>
    <xf numFmtId="0" fontId="37" fillId="13" borderId="21" xfId="0" applyFont="1" applyFill="1" applyBorder="1" applyAlignment="1" applyProtection="1">
      <alignment/>
      <protection/>
    </xf>
    <xf numFmtId="164" fontId="18" fillId="13" borderId="181" xfId="34" applyFont="1" applyFill="1" applyBorder="1" applyAlignment="1" applyProtection="1">
      <alignment/>
      <protection/>
    </xf>
    <xf numFmtId="3" fontId="31" fillId="0" borderId="21" xfId="0" applyNumberFormat="1" applyFont="1" applyFill="1" applyBorder="1" applyAlignment="1" applyProtection="1">
      <alignment/>
      <protection/>
    </xf>
    <xf numFmtId="0" fontId="18" fillId="13" borderId="183" xfId="1" applyNumberFormat="1" applyFont="1" applyFill="1" applyBorder="1" applyAlignment="1" applyProtection="1">
      <alignment/>
      <protection/>
    </xf>
    <xf numFmtId="3" fontId="31" fillId="0" borderId="190" xfId="0" applyNumberFormat="1" applyFont="1" applyFill="1" applyBorder="1" applyAlignment="1" applyProtection="1">
      <alignment/>
      <protection/>
    </xf>
    <xf numFmtId="9" fontId="31" fillId="0" borderId="21" xfId="48" applyFont="1" applyFill="1" applyBorder="1" applyAlignment="1" applyProtection="1">
      <alignment/>
      <protection/>
    </xf>
    <xf numFmtId="3" fontId="31" fillId="20" borderId="183" xfId="1" applyNumberFormat="1" applyFont="1" applyFill="1" applyBorder="1" applyAlignment="1" applyProtection="1">
      <alignment/>
      <protection/>
    </xf>
    <xf numFmtId="3" fontId="31" fillId="0" borderId="21" xfId="0" applyNumberFormat="1" applyFont="1" applyFill="1" applyBorder="1" applyAlignment="1" applyProtection="1">
      <alignment horizontal="left"/>
      <protection/>
    </xf>
    <xf numFmtId="3" fontId="31" fillId="0" borderId="181" xfId="0" applyNumberFormat="1" applyFont="1" applyFill="1" applyBorder="1" applyAlignment="1" applyProtection="1">
      <alignment horizontal="left"/>
      <protection/>
    </xf>
    <xf numFmtId="49" fontId="31" fillId="0" borderId="21" xfId="0" applyNumberFormat="1" applyFont="1" applyFill="1" applyBorder="1" applyAlignment="1" applyProtection="1">
      <alignment/>
      <protection/>
    </xf>
    <xf numFmtId="3" fontId="31" fillId="0" borderId="21" xfId="0" applyNumberFormat="1" applyFont="1" applyFill="1" applyBorder="1" applyAlignment="1" applyProtection="1">
      <alignment/>
      <protection/>
    </xf>
    <xf numFmtId="3" fontId="31" fillId="13" borderId="21" xfId="0" applyNumberFormat="1" applyFont="1" applyFill="1" applyBorder="1" applyAlignment="1" applyProtection="1">
      <alignment/>
      <protection/>
    </xf>
    <xf numFmtId="0" fontId="31" fillId="0" borderId="90" xfId="0" applyFont="1" applyBorder="1" applyAlignment="1">
      <alignment/>
    </xf>
    <xf numFmtId="2" fontId="29" fillId="6" borderId="191" xfId="0" applyNumberFormat="1" applyFont="1" applyFill="1" applyBorder="1" applyAlignment="1" applyProtection="1">
      <alignment horizontal="left"/>
      <protection/>
    </xf>
    <xf numFmtId="9" fontId="37" fillId="13" borderId="0" xfId="48" applyFont="1" applyFill="1" applyBorder="1" applyAlignment="1" applyProtection="1">
      <alignment horizontal="center"/>
      <protection/>
    </xf>
    <xf numFmtId="2" fontId="29" fillId="6" borderId="188" xfId="0" applyNumberFormat="1" applyFont="1" applyFill="1" applyBorder="1" applyAlignment="1" applyProtection="1">
      <alignment horizontal="left"/>
      <protection/>
    </xf>
    <xf numFmtId="2" fontId="29" fillId="0" borderId="20" xfId="0" applyNumberFormat="1" applyFont="1" applyFill="1" applyBorder="1" applyAlignment="1" applyProtection="1">
      <alignment horizontal="left"/>
      <protection/>
    </xf>
    <xf numFmtId="9" fontId="29" fillId="13" borderId="0" xfId="48" applyFont="1" applyFill="1" applyBorder="1" applyAlignment="1" applyProtection="1">
      <alignment horizontal="center"/>
      <protection/>
    </xf>
    <xf numFmtId="3" fontId="70" fillId="13" borderId="0" xfId="2" applyNumberFormat="1" applyFont="1" applyFill="1" applyBorder="1" applyAlignment="1" applyProtection="1">
      <alignment horizontal="center"/>
      <protection/>
    </xf>
    <xf numFmtId="0" fontId="68" fillId="13" borderId="0" xfId="4" applyNumberFormat="1" applyFont="1" applyFill="1" applyBorder="1" applyAlignment="1" applyProtection="1">
      <alignment horizontal="center"/>
      <protection/>
    </xf>
    <xf numFmtId="3" fontId="69" fillId="13" borderId="0" xfId="4" applyNumberFormat="1" applyFont="1" applyFill="1" applyBorder="1" applyAlignment="1" applyProtection="1">
      <alignment horizontal="center"/>
      <protection/>
    </xf>
    <xf numFmtId="3" fontId="68" fillId="13" borderId="0" xfId="4" applyNumberFormat="1" applyFont="1" applyFill="1" applyBorder="1" applyAlignment="1" applyProtection="1">
      <alignment horizontal="center"/>
      <protection/>
    </xf>
    <xf numFmtId="9" fontId="56" fillId="13" borderId="0" xfId="48" applyFont="1" applyFill="1" applyBorder="1" applyAlignment="1" applyProtection="1">
      <alignment horizontal="center"/>
      <protection/>
    </xf>
    <xf numFmtId="9" fontId="56" fillId="0" borderId="0" xfId="48" applyFont="1" applyFill="1" applyBorder="1" applyAlignment="1" applyProtection="1">
      <alignment horizontal="center"/>
      <protection/>
    </xf>
    <xf numFmtId="3" fontId="69" fillId="0" borderId="0" xfId="4" applyNumberFormat="1" applyFont="1" applyFill="1" applyBorder="1" applyAlignment="1" applyProtection="1">
      <alignment horizontal="center"/>
      <protection/>
    </xf>
    <xf numFmtId="0" fontId="37" fillId="13" borderId="13" xfId="0" applyFont="1" applyFill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7" fillId="13" borderId="0" xfId="2" applyNumberFormat="1" applyFont="1" applyFill="1" applyBorder="1" applyAlignment="1" applyProtection="1">
      <alignment horizontal="center"/>
      <protection/>
    </xf>
    <xf numFmtId="0" fontId="37" fillId="0" borderId="192" xfId="0" applyFont="1" applyBorder="1" applyAlignment="1">
      <alignment horizontal="center"/>
    </xf>
    <xf numFmtId="49" fontId="39" fillId="0" borderId="108" xfId="0" applyNumberFormat="1" applyFont="1" applyBorder="1" applyAlignment="1">
      <alignment horizontal="center"/>
    </xf>
    <xf numFmtId="0" fontId="40" fillId="0" borderId="125" xfId="0" applyFont="1" applyBorder="1" applyAlignment="1">
      <alignment/>
    </xf>
    <xf numFmtId="4" fontId="40" fillId="0" borderId="173" xfId="0" applyNumberFormat="1" applyFont="1" applyBorder="1" applyAlignment="1">
      <alignment/>
    </xf>
    <xf numFmtId="9" fontId="40" fillId="0" borderId="42" xfId="48" applyFont="1" applyFill="1" applyBorder="1" applyAlignment="1" applyProtection="1">
      <alignment/>
      <protection/>
    </xf>
    <xf numFmtId="4" fontId="40" fillId="0" borderId="110" xfId="0" applyNumberFormat="1" applyFont="1" applyBorder="1" applyAlignment="1">
      <alignment/>
    </xf>
    <xf numFmtId="49" fontId="41" fillId="0" borderId="92" xfId="0" applyNumberFormat="1" applyFont="1" applyBorder="1" applyAlignment="1">
      <alignment horizontal="center"/>
    </xf>
    <xf numFmtId="9" fontId="24" fillId="0" borderId="42" xfId="48" applyFont="1" applyFill="1" applyBorder="1" applyAlignment="1" applyProtection="1">
      <alignment/>
      <protection/>
    </xf>
    <xf numFmtId="4" fontId="31" fillId="0" borderId="110" xfId="0" applyNumberFormat="1" applyFont="1" applyBorder="1" applyAlignment="1">
      <alignment/>
    </xf>
    <xf numFmtId="0" fontId="0" fillId="13" borderId="171" xfId="0" applyFill="1" applyBorder="1" applyAlignment="1">
      <alignment/>
    </xf>
    <xf numFmtId="0" fontId="0" fillId="13" borderId="165" xfId="0" applyFont="1" applyFill="1" applyBorder="1" applyAlignment="1">
      <alignment/>
    </xf>
    <xf numFmtId="0" fontId="0" fillId="13" borderId="163" xfId="0" applyFill="1" applyBorder="1" applyAlignment="1">
      <alignment/>
    </xf>
    <xf numFmtId="0" fontId="0" fillId="0" borderId="95" xfId="0" applyFill="1" applyBorder="1" applyAlignment="1">
      <alignment/>
    </xf>
    <xf numFmtId="0" fontId="0" fillId="13" borderId="98" xfId="0" applyFill="1" applyBorder="1" applyAlignment="1">
      <alignment/>
    </xf>
    <xf numFmtId="0" fontId="0" fillId="0" borderId="98" xfId="0" applyFill="1" applyBorder="1" applyAlignment="1">
      <alignment/>
    </xf>
    <xf numFmtId="0" fontId="0" fillId="13" borderId="98" xfId="0" applyFont="1" applyFill="1" applyBorder="1" applyAlignment="1">
      <alignment/>
    </xf>
    <xf numFmtId="0" fontId="0" fillId="13" borderId="89" xfId="0" applyFill="1" applyBorder="1" applyAlignment="1">
      <alignment/>
    </xf>
    <xf numFmtId="0" fontId="32" fillId="0" borderId="0" xfId="0" applyFont="1" applyBorder="1" applyAlignment="1">
      <alignment horizontal="left"/>
    </xf>
    <xf numFmtId="0" fontId="32" fillId="6" borderId="12" xfId="0" applyFont="1" applyFill="1" applyBorder="1" applyAlignment="1">
      <alignment horizontal="center"/>
    </xf>
    <xf numFmtId="0" fontId="23" fillId="6" borderId="106" xfId="0" applyFont="1" applyFill="1" applyBorder="1" applyAlignment="1">
      <alignment horizontal="center"/>
    </xf>
    <xf numFmtId="3" fontId="37" fillId="13" borderId="0" xfId="0" applyNumberFormat="1" applyFont="1" applyFill="1" applyBorder="1" applyAlignment="1" applyProtection="1">
      <alignment/>
      <protection/>
    </xf>
    <xf numFmtId="3" fontId="37" fillId="13" borderId="0" xfId="0" applyNumberFormat="1" applyFont="1" applyFill="1" applyBorder="1" applyAlignment="1" applyProtection="1">
      <alignment/>
      <protection/>
    </xf>
    <xf numFmtId="0" fontId="0" fillId="0" borderId="163" xfId="0" applyFill="1" applyBorder="1" applyAlignment="1">
      <alignment/>
    </xf>
    <xf numFmtId="49" fontId="0" fillId="0" borderId="45" xfId="48" applyNumberFormat="1" applyFont="1" applyFill="1" applyBorder="1" applyAlignment="1" applyProtection="1">
      <alignment horizontal="center"/>
      <protection/>
    </xf>
    <xf numFmtId="0" fontId="67" fillId="13" borderId="21" xfId="0" applyFont="1" applyFill="1" applyBorder="1" applyAlignment="1">
      <alignment/>
    </xf>
    <xf numFmtId="49" fontId="0" fillId="0" borderId="45" xfId="48" applyNumberFormat="1" applyFont="1" applyFill="1" applyBorder="1" applyAlignment="1" applyProtection="1">
      <alignment horizontal="center"/>
      <protection/>
    </xf>
    <xf numFmtId="0" fontId="0" fillId="0" borderId="97" xfId="0" applyFill="1" applyBorder="1" applyAlignment="1">
      <alignment horizontal="left"/>
    </xf>
    <xf numFmtId="0" fontId="67" fillId="0" borderId="94" xfId="0" applyFont="1" applyFill="1" applyBorder="1" applyAlignment="1">
      <alignment/>
    </xf>
    <xf numFmtId="3" fontId="0" fillId="0" borderId="42" xfId="0" applyNumberFormat="1" applyFill="1" applyBorder="1" applyAlignment="1">
      <alignment horizontal="center"/>
    </xf>
    <xf numFmtId="3" fontId="76" fillId="0" borderId="42" xfId="0" applyNumberFormat="1" applyFont="1" applyFill="1" applyBorder="1" applyAlignment="1">
      <alignment horizontal="center"/>
    </xf>
    <xf numFmtId="0" fontId="24" fillId="0" borderId="110" xfId="0" applyFont="1" applyFill="1" applyBorder="1" applyAlignment="1">
      <alignment horizontal="left" wrapText="1"/>
    </xf>
    <xf numFmtId="0" fontId="29" fillId="0" borderId="0" xfId="0" applyFont="1" applyAlignment="1">
      <alignment/>
    </xf>
    <xf numFmtId="3" fontId="72" fillId="0" borderId="0" xfId="0" applyNumberFormat="1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center"/>
    </xf>
    <xf numFmtId="3" fontId="77" fillId="0" borderId="42" xfId="0" applyNumberFormat="1" applyFont="1" applyFill="1" applyBorder="1" applyAlignment="1">
      <alignment horizontal="center"/>
    </xf>
    <xf numFmtId="3" fontId="46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3" fontId="29" fillId="0" borderId="192" xfId="0" applyNumberFormat="1" applyFont="1" applyBorder="1" applyAlignment="1">
      <alignment/>
    </xf>
  </cellXfs>
  <cellStyles count="51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7"/>
  <sheetViews>
    <sheetView zoomScale="90" zoomScaleNormal="90" zoomScalePageLayoutView="0" workbookViewId="0" topLeftCell="A1">
      <pane xSplit="3" ySplit="5" topLeftCell="AR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M28" sqref="CM28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3.37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87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1272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1271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25</v>
      </c>
      <c r="B2" s="13"/>
      <c r="C2" s="14" t="s">
        <v>1219</v>
      </c>
      <c r="D2" s="15"/>
      <c r="E2" s="16" t="s">
        <v>26</v>
      </c>
      <c r="F2" s="17" t="s">
        <v>27</v>
      </c>
      <c r="G2" s="18" t="s">
        <v>28</v>
      </c>
      <c r="H2" s="19" t="s">
        <v>28</v>
      </c>
      <c r="I2" s="19" t="s">
        <v>28</v>
      </c>
      <c r="J2" s="19" t="s">
        <v>29</v>
      </c>
      <c r="K2" s="19" t="s">
        <v>30</v>
      </c>
      <c r="L2" s="20" t="s">
        <v>31</v>
      </c>
      <c r="M2" s="21" t="s">
        <v>32</v>
      </c>
      <c r="N2" s="21" t="s">
        <v>33</v>
      </c>
      <c r="O2" s="21" t="s">
        <v>34</v>
      </c>
      <c r="P2" s="21" t="s">
        <v>35</v>
      </c>
      <c r="Q2" s="21" t="s">
        <v>36</v>
      </c>
      <c r="R2" s="21" t="s">
        <v>37</v>
      </c>
      <c r="S2" s="21" t="s">
        <v>38</v>
      </c>
      <c r="T2" s="21" t="s">
        <v>39</v>
      </c>
      <c r="U2" s="21" t="s">
        <v>40</v>
      </c>
      <c r="V2" s="21" t="s">
        <v>489</v>
      </c>
      <c r="W2" s="20" t="s">
        <v>41</v>
      </c>
      <c r="X2" s="21" t="s">
        <v>42</v>
      </c>
      <c r="Y2" s="21" t="s">
        <v>43</v>
      </c>
      <c r="Z2" s="21" t="s">
        <v>44</v>
      </c>
      <c r="AA2" s="21" t="s">
        <v>45</v>
      </c>
      <c r="AB2" s="21" t="s">
        <v>46</v>
      </c>
      <c r="AC2" s="21" t="s">
        <v>47</v>
      </c>
      <c r="AD2" s="21" t="s">
        <v>48</v>
      </c>
      <c r="AE2" s="21" t="s">
        <v>49</v>
      </c>
      <c r="AF2" s="21" t="s">
        <v>50</v>
      </c>
      <c r="AG2" s="21" t="s">
        <v>51</v>
      </c>
      <c r="AH2" s="21" t="s">
        <v>52</v>
      </c>
      <c r="AI2" s="21" t="s">
        <v>53</v>
      </c>
      <c r="AJ2" s="22" t="s">
        <v>56</v>
      </c>
      <c r="AK2" s="22" t="s">
        <v>60</v>
      </c>
      <c r="AL2" s="23" t="s">
        <v>61</v>
      </c>
      <c r="AM2" s="21" t="s">
        <v>62</v>
      </c>
      <c r="AN2" s="21" t="s">
        <v>63</v>
      </c>
      <c r="AO2" s="21" t="s">
        <v>64</v>
      </c>
      <c r="AP2" s="24" t="s">
        <v>65</v>
      </c>
      <c r="AQ2" s="25" t="s">
        <v>65</v>
      </c>
      <c r="AR2" s="26"/>
      <c r="AS2" s="12" t="s">
        <v>66</v>
      </c>
      <c r="AT2" s="13"/>
      <c r="AU2" s="14" t="s">
        <v>1219</v>
      </c>
      <c r="AV2" s="27"/>
      <c r="AW2" s="28" t="s">
        <v>67</v>
      </c>
      <c r="AX2" s="29" t="s">
        <v>68</v>
      </c>
      <c r="AY2" s="29" t="s">
        <v>69</v>
      </c>
      <c r="AZ2" s="30" t="s">
        <v>70</v>
      </c>
      <c r="BA2" s="31" t="s">
        <v>71</v>
      </c>
      <c r="BB2" s="31" t="s">
        <v>72</v>
      </c>
      <c r="BC2" s="31" t="s">
        <v>73</v>
      </c>
      <c r="BD2" s="29" t="s">
        <v>74</v>
      </c>
      <c r="BE2" s="32" t="s">
        <v>75</v>
      </c>
      <c r="BF2" s="33" t="s">
        <v>76</v>
      </c>
      <c r="BG2" s="21" t="s">
        <v>77</v>
      </c>
      <c r="BH2" s="33" t="s">
        <v>78</v>
      </c>
      <c r="BI2" s="33" t="s">
        <v>79</v>
      </c>
      <c r="BJ2" s="34" t="s">
        <v>75</v>
      </c>
      <c r="BK2" s="35" t="s">
        <v>80</v>
      </c>
      <c r="BL2" s="36" t="s">
        <v>81</v>
      </c>
      <c r="BM2" s="33" t="s">
        <v>82</v>
      </c>
      <c r="BN2" s="33" t="s">
        <v>83</v>
      </c>
      <c r="BO2" s="33" t="s">
        <v>84</v>
      </c>
      <c r="BP2" s="21" t="s">
        <v>85</v>
      </c>
      <c r="BQ2" s="33" t="s">
        <v>86</v>
      </c>
      <c r="BR2" s="33" t="s">
        <v>87</v>
      </c>
      <c r="BS2" s="32" t="s">
        <v>88</v>
      </c>
      <c r="BT2" s="33" t="s">
        <v>89</v>
      </c>
      <c r="BU2" s="31" t="s">
        <v>90</v>
      </c>
      <c r="BV2" s="33" t="s">
        <v>91</v>
      </c>
      <c r="BW2" s="33" t="s">
        <v>92</v>
      </c>
      <c r="BX2" s="33" t="s">
        <v>93</v>
      </c>
      <c r="BY2" s="33" t="s">
        <v>94</v>
      </c>
      <c r="BZ2" s="21" t="s">
        <v>95</v>
      </c>
      <c r="CA2" s="32" t="s">
        <v>96</v>
      </c>
      <c r="CB2" s="33" t="s">
        <v>98</v>
      </c>
      <c r="CC2" s="33" t="s">
        <v>99</v>
      </c>
      <c r="CD2" s="33" t="s">
        <v>100</v>
      </c>
      <c r="CE2" s="33" t="s">
        <v>101</v>
      </c>
      <c r="CF2" s="33" t="s">
        <v>102</v>
      </c>
      <c r="CG2" s="32" t="s">
        <v>103</v>
      </c>
      <c r="CH2" s="33" t="s">
        <v>104</v>
      </c>
      <c r="CI2" s="33" t="s">
        <v>104</v>
      </c>
      <c r="CJ2" s="37" t="s">
        <v>105</v>
      </c>
      <c r="CK2" s="38" t="s">
        <v>106</v>
      </c>
      <c r="CL2" s="38" t="s">
        <v>107</v>
      </c>
      <c r="CM2" s="39" t="s">
        <v>108</v>
      </c>
      <c r="CN2" s="39" t="s">
        <v>109</v>
      </c>
      <c r="CO2" s="39" t="s">
        <v>110</v>
      </c>
      <c r="CP2" s="38" t="s">
        <v>111</v>
      </c>
      <c r="CQ2" s="38" t="s">
        <v>26</v>
      </c>
      <c r="CR2" s="39" t="s">
        <v>112</v>
      </c>
      <c r="CS2" s="39" t="s">
        <v>113</v>
      </c>
      <c r="CT2" s="39" t="s">
        <v>114</v>
      </c>
      <c r="CU2" s="39" t="s">
        <v>115</v>
      </c>
      <c r="CV2" s="33" t="s">
        <v>116</v>
      </c>
      <c r="CW2" s="33" t="s">
        <v>117</v>
      </c>
      <c r="CX2" s="40" t="s">
        <v>118</v>
      </c>
      <c r="CY2" s="40" t="s">
        <v>119</v>
      </c>
      <c r="CZ2" s="41" t="s">
        <v>120</v>
      </c>
    </row>
    <row r="3" spans="1:104" ht="10.5" customHeight="1">
      <c r="A3" s="42" t="s">
        <v>121</v>
      </c>
      <c r="B3" s="43"/>
      <c r="C3" s="44" t="s">
        <v>695</v>
      </c>
      <c r="D3" s="45"/>
      <c r="E3" s="46" t="s">
        <v>122</v>
      </c>
      <c r="F3" s="47" t="s">
        <v>123</v>
      </c>
      <c r="G3" s="47" t="s">
        <v>124</v>
      </c>
      <c r="H3" s="47" t="s">
        <v>125</v>
      </c>
      <c r="I3" s="47" t="s">
        <v>126</v>
      </c>
      <c r="J3" s="47">
        <v>1211</v>
      </c>
      <c r="K3" s="47" t="s">
        <v>127</v>
      </c>
      <c r="L3" s="48" t="s">
        <v>128</v>
      </c>
      <c r="M3" s="49" t="s">
        <v>129</v>
      </c>
      <c r="N3" s="49">
        <v>1333</v>
      </c>
      <c r="O3" s="49" t="s">
        <v>130</v>
      </c>
      <c r="P3" s="49" t="s">
        <v>131</v>
      </c>
      <c r="Q3" s="49" t="s">
        <v>132</v>
      </c>
      <c r="R3" s="49" t="s">
        <v>133</v>
      </c>
      <c r="S3" s="49" t="s">
        <v>134</v>
      </c>
      <c r="T3" s="49" t="s">
        <v>135</v>
      </c>
      <c r="U3" s="49" t="s">
        <v>136</v>
      </c>
      <c r="V3" s="50" t="s">
        <v>137</v>
      </c>
      <c r="W3" s="51" t="s">
        <v>138</v>
      </c>
      <c r="X3" s="49" t="s">
        <v>139</v>
      </c>
      <c r="Y3" s="49" t="s">
        <v>140</v>
      </c>
      <c r="Z3" s="49" t="s">
        <v>141</v>
      </c>
      <c r="AA3" s="49" t="s">
        <v>142</v>
      </c>
      <c r="AB3" s="49" t="s">
        <v>143</v>
      </c>
      <c r="AC3" s="49" t="s">
        <v>144</v>
      </c>
      <c r="AD3" s="49" t="s">
        <v>145</v>
      </c>
      <c r="AE3" s="49" t="s">
        <v>146</v>
      </c>
      <c r="AF3" s="49" t="s">
        <v>175</v>
      </c>
      <c r="AG3" s="49">
        <v>2322</v>
      </c>
      <c r="AH3" s="49" t="s">
        <v>176</v>
      </c>
      <c r="AI3" s="49" t="s">
        <v>177</v>
      </c>
      <c r="AJ3" s="52" t="s">
        <v>178</v>
      </c>
      <c r="AK3" s="52"/>
      <c r="AL3" s="51" t="s">
        <v>138</v>
      </c>
      <c r="AM3" s="49" t="s">
        <v>142</v>
      </c>
      <c r="AN3" s="49" t="s">
        <v>143</v>
      </c>
      <c r="AO3" s="49" t="s">
        <v>138</v>
      </c>
      <c r="AP3" s="53" t="s">
        <v>179</v>
      </c>
      <c r="AQ3" s="54" t="s">
        <v>180</v>
      </c>
      <c r="AR3" s="55"/>
      <c r="AS3" s="42" t="s">
        <v>121</v>
      </c>
      <c r="AT3" s="43"/>
      <c r="AU3" s="44" t="s">
        <v>695</v>
      </c>
      <c r="AV3" s="56"/>
      <c r="AW3" s="57" t="s">
        <v>181</v>
      </c>
      <c r="AX3" s="58"/>
      <c r="AY3" s="58">
        <v>5021</v>
      </c>
      <c r="AZ3" s="59" t="s">
        <v>182</v>
      </c>
      <c r="BA3" s="59" t="s">
        <v>183</v>
      </c>
      <c r="BB3" s="58" t="s">
        <v>183</v>
      </c>
      <c r="BC3" s="60" t="s">
        <v>184</v>
      </c>
      <c r="BD3" s="58" t="s">
        <v>185</v>
      </c>
      <c r="BE3" s="61"/>
      <c r="BF3" s="62">
        <v>5132</v>
      </c>
      <c r="BG3" s="49" t="s">
        <v>186</v>
      </c>
      <c r="BH3" s="62"/>
      <c r="BI3" s="63" t="s">
        <v>187</v>
      </c>
      <c r="BJ3" s="64"/>
      <c r="BK3" s="65"/>
      <c r="BL3" s="66"/>
      <c r="BM3" s="62"/>
      <c r="BN3" s="62"/>
      <c r="BO3" s="62" t="s">
        <v>188</v>
      </c>
      <c r="BP3" s="49" t="s">
        <v>189</v>
      </c>
      <c r="BQ3" s="62"/>
      <c r="BR3" s="62" t="s">
        <v>188</v>
      </c>
      <c r="BS3" s="67" t="s">
        <v>139</v>
      </c>
      <c r="BT3" s="62" t="s">
        <v>190</v>
      </c>
      <c r="BU3" s="59"/>
      <c r="BV3" s="62" t="s">
        <v>191</v>
      </c>
      <c r="BW3" s="62" t="s">
        <v>192</v>
      </c>
      <c r="BX3" s="62" t="s">
        <v>193</v>
      </c>
      <c r="BY3" s="62" t="s">
        <v>194</v>
      </c>
      <c r="BZ3" s="49" t="s">
        <v>195</v>
      </c>
      <c r="CA3" s="67" t="s">
        <v>196</v>
      </c>
      <c r="CB3" s="62"/>
      <c r="CC3" s="62"/>
      <c r="CD3" s="62"/>
      <c r="CE3" s="62"/>
      <c r="CF3" s="62" t="s">
        <v>197</v>
      </c>
      <c r="CG3" s="67" t="s">
        <v>198</v>
      </c>
      <c r="CH3" s="62" t="s">
        <v>199</v>
      </c>
      <c r="CI3" s="62" t="s">
        <v>200</v>
      </c>
      <c r="CJ3" s="68" t="s">
        <v>201</v>
      </c>
      <c r="CK3" s="69">
        <v>5193</v>
      </c>
      <c r="CL3" s="69" t="s">
        <v>202</v>
      </c>
      <c r="CM3" s="70" t="s">
        <v>203</v>
      </c>
      <c r="CN3" s="68" t="s">
        <v>204</v>
      </c>
      <c r="CO3" s="70" t="s">
        <v>205</v>
      </c>
      <c r="CP3" s="69"/>
      <c r="CQ3" s="69" t="s">
        <v>206</v>
      </c>
      <c r="CR3" s="70">
        <v>5410</v>
      </c>
      <c r="CS3" s="71" t="s">
        <v>205</v>
      </c>
      <c r="CT3" s="70" t="s">
        <v>207</v>
      </c>
      <c r="CU3" s="70"/>
      <c r="CV3" s="62"/>
      <c r="CW3" s="62"/>
      <c r="CX3" s="72" t="s">
        <v>208</v>
      </c>
      <c r="CY3" s="72" t="s">
        <v>209</v>
      </c>
      <c r="CZ3" s="73"/>
    </row>
    <row r="4" spans="1:104" ht="16.5" customHeight="1" thickBot="1">
      <c r="A4" s="74" t="s">
        <v>230</v>
      </c>
      <c r="B4" s="75"/>
      <c r="C4" s="76" t="s">
        <v>231</v>
      </c>
      <c r="D4" s="77"/>
      <c r="E4" s="78" t="s">
        <v>232</v>
      </c>
      <c r="F4" s="79">
        <v>1111</v>
      </c>
      <c r="G4" s="79" t="s">
        <v>233</v>
      </c>
      <c r="H4" s="79">
        <v>1121</v>
      </c>
      <c r="I4" s="79">
        <v>1122</v>
      </c>
      <c r="J4" s="80"/>
      <c r="K4" s="79">
        <v>1511</v>
      </c>
      <c r="L4" s="81" t="s">
        <v>234</v>
      </c>
      <c r="M4" s="82">
        <v>1361</v>
      </c>
      <c r="N4" s="83" t="s">
        <v>235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757" t="s">
        <v>490</v>
      </c>
      <c r="W4" s="81" t="s">
        <v>236</v>
      </c>
      <c r="X4" s="82">
        <v>2111</v>
      </c>
      <c r="Y4" s="82">
        <v>2122</v>
      </c>
      <c r="Z4" s="82">
        <v>2112</v>
      </c>
      <c r="AA4" s="82">
        <v>2131</v>
      </c>
      <c r="AB4" s="85" t="s">
        <v>237</v>
      </c>
      <c r="AC4" s="82">
        <v>2141</v>
      </c>
      <c r="AD4" s="82">
        <v>2142</v>
      </c>
      <c r="AE4" s="84" t="s">
        <v>1166</v>
      </c>
      <c r="AF4" s="82">
        <v>2310</v>
      </c>
      <c r="AG4" s="82" t="s">
        <v>238</v>
      </c>
      <c r="AH4" s="82" t="s">
        <v>239</v>
      </c>
      <c r="AI4" s="82" t="s">
        <v>593</v>
      </c>
      <c r="AJ4" s="82" t="s">
        <v>240</v>
      </c>
      <c r="AK4" s="52"/>
      <c r="AL4" s="81" t="s">
        <v>241</v>
      </c>
      <c r="AM4" s="82">
        <v>3111</v>
      </c>
      <c r="AN4" s="82">
        <v>3112</v>
      </c>
      <c r="AO4" s="82" t="s">
        <v>242</v>
      </c>
      <c r="AP4" s="86" t="s">
        <v>243</v>
      </c>
      <c r="AQ4" s="87"/>
      <c r="AR4" s="88"/>
      <c r="AS4" s="74" t="s">
        <v>230</v>
      </c>
      <c r="AT4" s="75"/>
      <c r="AU4" s="76" t="s">
        <v>231</v>
      </c>
      <c r="AV4" s="89"/>
      <c r="AW4" s="90" t="s">
        <v>244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245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246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247</v>
      </c>
      <c r="CI4" s="96">
        <v>5182</v>
      </c>
      <c r="CJ4" s="100">
        <v>519</v>
      </c>
      <c r="CK4" s="101" t="s">
        <v>248</v>
      </c>
      <c r="CL4" s="58" t="s">
        <v>249</v>
      </c>
      <c r="CM4" s="101" t="s">
        <v>250</v>
      </c>
      <c r="CN4" s="100" t="s">
        <v>251</v>
      </c>
      <c r="CO4" s="101">
        <v>536</v>
      </c>
      <c r="CP4" s="101">
        <v>5361</v>
      </c>
      <c r="CQ4" s="101" t="s">
        <v>174</v>
      </c>
      <c r="CR4" s="101">
        <v>5499</v>
      </c>
      <c r="CS4" s="101" t="s">
        <v>252</v>
      </c>
      <c r="CT4" s="101" t="s">
        <v>595</v>
      </c>
      <c r="CU4" s="101">
        <v>61</v>
      </c>
      <c r="CV4" s="96">
        <v>612</v>
      </c>
      <c r="CW4" s="96">
        <v>611</v>
      </c>
      <c r="CX4" s="72" t="s">
        <v>594</v>
      </c>
      <c r="CY4" s="96" t="s">
        <v>253</v>
      </c>
      <c r="CZ4" s="102">
        <v>8</v>
      </c>
    </row>
    <row r="5" spans="1:104" ht="17.25" customHeight="1" thickBot="1" thickTop="1">
      <c r="A5" s="580" t="s">
        <v>1221</v>
      </c>
      <c r="B5" s="582"/>
      <c r="C5" s="583">
        <f>SUM(E5,L5,W5,AJ5,AK5,AL5,AP5,AQ5)</f>
        <v>131483.5</v>
      </c>
      <c r="D5" s="584"/>
      <c r="E5" s="583">
        <f aca="true" t="shared" si="0" ref="E5:AQ5">SUM(E7,E10,E13,E18,E24,E35,E40,E56,E58)</f>
        <v>35878</v>
      </c>
      <c r="F5" s="585">
        <f t="shared" si="0"/>
        <v>6965</v>
      </c>
      <c r="G5" s="585">
        <f t="shared" si="0"/>
        <v>1285</v>
      </c>
      <c r="H5" s="585">
        <f t="shared" si="0"/>
        <v>6950</v>
      </c>
      <c r="I5" s="585">
        <f t="shared" si="0"/>
        <v>3978</v>
      </c>
      <c r="J5" s="585">
        <f t="shared" si="0"/>
        <v>14700</v>
      </c>
      <c r="K5" s="585">
        <f t="shared" si="0"/>
        <v>2000</v>
      </c>
      <c r="L5" s="583">
        <f t="shared" si="0"/>
        <v>3219</v>
      </c>
      <c r="M5" s="585">
        <f t="shared" si="0"/>
        <v>324</v>
      </c>
      <c r="N5" s="585">
        <f t="shared" si="0"/>
        <v>0</v>
      </c>
      <c r="O5" s="585">
        <f t="shared" si="0"/>
        <v>0</v>
      </c>
      <c r="P5" s="585">
        <f t="shared" si="0"/>
        <v>1700</v>
      </c>
      <c r="Q5" s="585">
        <f t="shared" si="0"/>
        <v>40</v>
      </c>
      <c r="R5" s="585">
        <f t="shared" si="0"/>
        <v>70</v>
      </c>
      <c r="S5" s="585">
        <f t="shared" si="0"/>
        <v>10</v>
      </c>
      <c r="T5" s="585">
        <f t="shared" si="0"/>
        <v>0</v>
      </c>
      <c r="U5" s="585">
        <f t="shared" si="0"/>
        <v>60</v>
      </c>
      <c r="V5" s="585">
        <f t="shared" si="0"/>
        <v>1015</v>
      </c>
      <c r="W5" s="583">
        <f t="shared" si="0"/>
        <v>13197</v>
      </c>
      <c r="X5" s="585">
        <f t="shared" si="0"/>
        <v>180</v>
      </c>
      <c r="Y5" s="585">
        <f t="shared" si="0"/>
        <v>0</v>
      </c>
      <c r="Z5" s="585">
        <f t="shared" si="0"/>
        <v>0</v>
      </c>
      <c r="AA5" s="585">
        <f t="shared" si="0"/>
        <v>135</v>
      </c>
      <c r="AB5" s="585">
        <f t="shared" si="0"/>
        <v>5871</v>
      </c>
      <c r="AC5" s="585">
        <f t="shared" si="0"/>
        <v>257</v>
      </c>
      <c r="AD5" s="585">
        <f t="shared" si="0"/>
        <v>0</v>
      </c>
      <c r="AE5" s="585">
        <f t="shared" si="0"/>
        <v>32</v>
      </c>
      <c r="AF5" s="585">
        <f t="shared" si="0"/>
        <v>0</v>
      </c>
      <c r="AG5" s="585">
        <f t="shared" si="0"/>
        <v>0</v>
      </c>
      <c r="AH5" s="585">
        <f t="shared" si="0"/>
        <v>6408</v>
      </c>
      <c r="AI5" s="585">
        <f t="shared" si="0"/>
        <v>312</v>
      </c>
      <c r="AJ5" s="586">
        <f t="shared" si="0"/>
        <v>4000</v>
      </c>
      <c r="AK5" s="586">
        <f t="shared" si="0"/>
        <v>0</v>
      </c>
      <c r="AL5" s="583">
        <f t="shared" si="0"/>
        <v>21918</v>
      </c>
      <c r="AM5" s="585">
        <f t="shared" si="0"/>
        <v>500</v>
      </c>
      <c r="AN5" s="585">
        <f t="shared" si="0"/>
        <v>1126</v>
      </c>
      <c r="AO5" s="585">
        <f t="shared" si="0"/>
        <v>20292</v>
      </c>
      <c r="AP5" s="583">
        <f t="shared" si="0"/>
        <v>51792</v>
      </c>
      <c r="AQ5" s="583">
        <f t="shared" si="0"/>
        <v>1479.5</v>
      </c>
      <c r="AR5" s="494"/>
      <c r="AS5" s="580" t="s">
        <v>1221</v>
      </c>
      <c r="AT5" s="573"/>
      <c r="AU5" s="583">
        <f>SUM(AW5,BE5,BK5,BS5,BL5,CA5,CG5,CJ5,CM5,CN5,CO5,CR5,CS5,CT5,CU5,CX5,CY5,CZ5)</f>
        <v>163822.5</v>
      </c>
      <c r="AV5" s="611"/>
      <c r="AW5" s="612">
        <f aca="true" t="shared" si="1" ref="AW5:CB5">SUM(AW7,AW10,AW13,AW18,AW24,AW35,AW40,AW56,AW58)</f>
        <v>20812</v>
      </c>
      <c r="AX5" s="613">
        <f t="shared" si="1"/>
        <v>14621</v>
      </c>
      <c r="AY5" s="613">
        <f t="shared" si="1"/>
        <v>1786</v>
      </c>
      <c r="AZ5" s="613">
        <f t="shared" si="1"/>
        <v>0</v>
      </c>
      <c r="BA5" s="614">
        <f t="shared" si="1"/>
        <v>3204</v>
      </c>
      <c r="BB5" s="615">
        <f t="shared" si="1"/>
        <v>1150</v>
      </c>
      <c r="BC5" s="616">
        <f t="shared" si="1"/>
        <v>51</v>
      </c>
      <c r="BD5" s="616">
        <f t="shared" si="1"/>
        <v>0</v>
      </c>
      <c r="BE5" s="617">
        <f t="shared" si="1"/>
        <v>3237.5</v>
      </c>
      <c r="BF5" s="613">
        <f t="shared" si="1"/>
        <v>85</v>
      </c>
      <c r="BG5" s="618">
        <f t="shared" si="1"/>
        <v>128</v>
      </c>
      <c r="BH5" s="618">
        <f t="shared" si="1"/>
        <v>493</v>
      </c>
      <c r="BI5" s="618">
        <f t="shared" si="1"/>
        <v>0</v>
      </c>
      <c r="BJ5" s="619">
        <f t="shared" si="1"/>
        <v>2531.5</v>
      </c>
      <c r="BK5" s="620">
        <f t="shared" si="1"/>
        <v>40</v>
      </c>
      <c r="BL5" s="621">
        <f t="shared" si="1"/>
        <v>6168</v>
      </c>
      <c r="BM5" s="616">
        <f t="shared" si="1"/>
        <v>1118</v>
      </c>
      <c r="BN5" s="618">
        <f t="shared" si="1"/>
        <v>680</v>
      </c>
      <c r="BO5" s="622">
        <f t="shared" si="1"/>
        <v>1668</v>
      </c>
      <c r="BP5" s="618">
        <f t="shared" si="1"/>
        <v>1</v>
      </c>
      <c r="BQ5" s="618">
        <f t="shared" si="1"/>
        <v>1361</v>
      </c>
      <c r="BR5" s="618">
        <f t="shared" si="1"/>
        <v>1340</v>
      </c>
      <c r="BS5" s="623">
        <f t="shared" si="1"/>
        <v>8849</v>
      </c>
      <c r="BT5" s="618">
        <f t="shared" si="1"/>
        <v>112</v>
      </c>
      <c r="BU5" s="618">
        <f t="shared" si="1"/>
        <v>194</v>
      </c>
      <c r="BV5" s="618">
        <f t="shared" si="1"/>
        <v>782</v>
      </c>
      <c r="BW5" s="618">
        <f t="shared" si="1"/>
        <v>360</v>
      </c>
      <c r="BX5" s="624">
        <f t="shared" si="1"/>
        <v>116</v>
      </c>
      <c r="BY5" s="625">
        <f t="shared" si="1"/>
        <v>227</v>
      </c>
      <c r="BZ5" s="613">
        <f t="shared" si="1"/>
        <v>7058</v>
      </c>
      <c r="CA5" s="617">
        <f t="shared" si="1"/>
        <v>1209</v>
      </c>
      <c r="CB5" s="626">
        <f t="shared" si="1"/>
        <v>955</v>
      </c>
      <c r="CC5" s="615">
        <f aca="true" t="shared" si="2" ref="CC5:CZ5">SUM(CC7,CC10,CC13,CC18,CC24,CC35,CC40,CC56,CC58)</f>
        <v>69</v>
      </c>
      <c r="CD5" s="615">
        <f t="shared" si="2"/>
        <v>78</v>
      </c>
      <c r="CE5" s="615">
        <f t="shared" si="2"/>
        <v>107</v>
      </c>
      <c r="CF5" s="616">
        <f t="shared" si="2"/>
        <v>0</v>
      </c>
      <c r="CG5" s="617">
        <f t="shared" si="2"/>
        <v>0</v>
      </c>
      <c r="CH5" s="627">
        <f t="shared" si="2"/>
        <v>0</v>
      </c>
      <c r="CI5" s="627">
        <f t="shared" si="2"/>
        <v>0</v>
      </c>
      <c r="CJ5" s="628">
        <f t="shared" si="2"/>
        <v>77</v>
      </c>
      <c r="CK5" s="629">
        <f t="shared" si="2"/>
        <v>1</v>
      </c>
      <c r="CL5" s="627">
        <f t="shared" si="2"/>
        <v>76</v>
      </c>
      <c r="CM5" s="630">
        <f t="shared" si="2"/>
        <v>1678</v>
      </c>
      <c r="CN5" s="623">
        <f t="shared" si="2"/>
        <v>160</v>
      </c>
      <c r="CO5" s="623">
        <f t="shared" si="2"/>
        <v>4353</v>
      </c>
      <c r="CP5" s="614">
        <f t="shared" si="2"/>
        <v>30</v>
      </c>
      <c r="CQ5" s="627">
        <f t="shared" si="2"/>
        <v>4323</v>
      </c>
      <c r="CR5" s="631">
        <f t="shared" si="2"/>
        <v>0</v>
      </c>
      <c r="CS5" s="623">
        <f>SUM(CS7,CS10,CS13,CS18,CS24,CS35,CS40,CS56,CS58)</f>
        <v>13168</v>
      </c>
      <c r="CT5" s="623">
        <f t="shared" si="2"/>
        <v>142</v>
      </c>
      <c r="CU5" s="623">
        <f t="shared" si="2"/>
        <v>93454</v>
      </c>
      <c r="CV5" s="613">
        <f t="shared" si="2"/>
        <v>92354</v>
      </c>
      <c r="CW5" s="613">
        <f t="shared" si="2"/>
        <v>1100</v>
      </c>
      <c r="CX5" s="623">
        <f t="shared" si="2"/>
        <v>10475</v>
      </c>
      <c r="CY5" s="623">
        <f t="shared" si="2"/>
        <v>0</v>
      </c>
      <c r="CZ5" s="632">
        <f t="shared" si="2"/>
        <v>0</v>
      </c>
    </row>
    <row r="6" spans="1:104" ht="6" customHeight="1" thickBot="1">
      <c r="A6" s="105"/>
      <c r="B6" s="106"/>
      <c r="C6" s="581"/>
      <c r="D6" s="103"/>
      <c r="E6" s="107"/>
      <c r="F6" s="108"/>
      <c r="G6" s="109"/>
      <c r="H6" s="108"/>
      <c r="I6" s="110"/>
      <c r="J6" s="110"/>
      <c r="K6" s="110"/>
      <c r="L6" s="107"/>
      <c r="M6" s="109"/>
      <c r="N6" s="108"/>
      <c r="O6" s="108"/>
      <c r="P6" s="110"/>
      <c r="Q6" s="108"/>
      <c r="R6" s="108"/>
      <c r="S6" s="108"/>
      <c r="T6" s="108"/>
      <c r="U6" s="110"/>
      <c r="V6" s="108"/>
      <c r="W6" s="107"/>
      <c r="X6" s="109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11"/>
      <c r="AK6" s="112"/>
      <c r="AL6" s="107"/>
      <c r="AM6" s="109"/>
      <c r="AN6" s="108"/>
      <c r="AO6" s="8"/>
      <c r="AP6" s="107"/>
      <c r="AQ6" s="113"/>
      <c r="AR6" s="114"/>
      <c r="AS6" s="115"/>
      <c r="AT6" s="116"/>
      <c r="AU6" s="581"/>
      <c r="AV6" s="112"/>
      <c r="AW6" s="609"/>
      <c r="AX6" s="112"/>
      <c r="AY6" s="112"/>
      <c r="AZ6" s="112"/>
      <c r="BA6" s="112"/>
      <c r="BB6" s="112"/>
      <c r="BC6" s="112"/>
      <c r="BD6" s="112"/>
      <c r="BE6" s="117"/>
      <c r="BF6" s="112"/>
      <c r="BG6" s="112"/>
      <c r="BH6" s="112"/>
      <c r="BI6" s="112"/>
      <c r="BJ6" s="118"/>
      <c r="BK6" s="119"/>
      <c r="BL6" s="117"/>
      <c r="BM6" s="112"/>
      <c r="BN6" s="112"/>
      <c r="BO6" s="112"/>
      <c r="BP6" s="112"/>
      <c r="BQ6" s="112"/>
      <c r="BR6" s="112"/>
      <c r="BS6" s="117"/>
      <c r="BT6" s="112"/>
      <c r="BU6" s="112"/>
      <c r="BV6" s="112"/>
      <c r="BW6" s="112"/>
      <c r="BX6" s="112"/>
      <c r="BY6" s="112"/>
      <c r="BZ6" s="112"/>
      <c r="CA6" s="117"/>
      <c r="CB6" s="112"/>
      <c r="CC6" s="112"/>
      <c r="CD6" s="112"/>
      <c r="CE6" s="112"/>
      <c r="CF6" s="112"/>
      <c r="CG6" s="117"/>
      <c r="CH6" s="112"/>
      <c r="CI6" s="112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2"/>
      <c r="CW6" s="112"/>
      <c r="CX6" s="112"/>
      <c r="CY6" s="112"/>
      <c r="CZ6" s="610"/>
    </row>
    <row r="7" spans="1:104" ht="12" customHeight="1" thickBot="1">
      <c r="A7" s="120" t="s">
        <v>254</v>
      </c>
      <c r="B7" s="121"/>
      <c r="C7" s="122">
        <f aca="true" t="shared" si="3" ref="C7:C37">SUM(E7,L7,W7,AJ7,AK7,AL7,AP7,AQ7)</f>
        <v>59328</v>
      </c>
      <c r="D7" s="587"/>
      <c r="E7" s="123">
        <f aca="true" t="shared" si="4" ref="E7:AQ7">SUM(E8:E9)</f>
        <v>0</v>
      </c>
      <c r="F7" s="124">
        <f t="shared" si="4"/>
        <v>0</v>
      </c>
      <c r="G7" s="124">
        <f t="shared" si="4"/>
        <v>0</v>
      </c>
      <c r="H7" s="124">
        <f t="shared" si="4"/>
        <v>0</v>
      </c>
      <c r="I7" s="124">
        <f t="shared" si="4"/>
        <v>0</v>
      </c>
      <c r="J7" s="124">
        <f t="shared" si="4"/>
        <v>0</v>
      </c>
      <c r="K7" s="124">
        <f t="shared" si="4"/>
        <v>0</v>
      </c>
      <c r="L7" s="125">
        <f t="shared" si="4"/>
        <v>0</v>
      </c>
      <c r="M7" s="126">
        <f t="shared" si="4"/>
        <v>0</v>
      </c>
      <c r="N7" s="126">
        <f t="shared" si="4"/>
        <v>0</v>
      </c>
      <c r="O7" s="126">
        <f t="shared" si="4"/>
        <v>0</v>
      </c>
      <c r="P7" s="126">
        <f t="shared" si="4"/>
        <v>0</v>
      </c>
      <c r="Q7" s="126">
        <f t="shared" si="4"/>
        <v>0</v>
      </c>
      <c r="R7" s="126">
        <f t="shared" si="4"/>
        <v>0</v>
      </c>
      <c r="S7" s="126">
        <f t="shared" si="4"/>
        <v>0</v>
      </c>
      <c r="T7" s="126">
        <f t="shared" si="4"/>
        <v>0</v>
      </c>
      <c r="U7" s="126">
        <f t="shared" si="4"/>
        <v>0</v>
      </c>
      <c r="V7" s="126">
        <f t="shared" si="4"/>
        <v>0</v>
      </c>
      <c r="W7" s="125">
        <f t="shared" si="4"/>
        <v>0</v>
      </c>
      <c r="X7" s="126">
        <f t="shared" si="4"/>
        <v>0</v>
      </c>
      <c r="Y7" s="126">
        <f t="shared" si="4"/>
        <v>0</v>
      </c>
      <c r="Z7" s="126">
        <f t="shared" si="4"/>
        <v>0</v>
      </c>
      <c r="AA7" s="126">
        <f t="shared" si="4"/>
        <v>0</v>
      </c>
      <c r="AB7" s="126">
        <f t="shared" si="4"/>
        <v>0</v>
      </c>
      <c r="AC7" s="126">
        <f t="shared" si="4"/>
        <v>0</v>
      </c>
      <c r="AD7" s="126">
        <f t="shared" si="4"/>
        <v>0</v>
      </c>
      <c r="AE7" s="126">
        <f t="shared" si="4"/>
        <v>0</v>
      </c>
      <c r="AF7" s="126">
        <f t="shared" si="4"/>
        <v>0</v>
      </c>
      <c r="AG7" s="126">
        <f t="shared" si="4"/>
        <v>0</v>
      </c>
      <c r="AH7" s="126">
        <f t="shared" si="4"/>
        <v>0</v>
      </c>
      <c r="AI7" s="126">
        <f t="shared" si="4"/>
        <v>0</v>
      </c>
      <c r="AJ7" s="127">
        <f t="shared" si="4"/>
        <v>0</v>
      </c>
      <c r="AK7" s="125">
        <f t="shared" si="4"/>
        <v>0</v>
      </c>
      <c r="AL7" s="125">
        <f t="shared" si="4"/>
        <v>20292</v>
      </c>
      <c r="AM7" s="126">
        <f t="shared" si="4"/>
        <v>0</v>
      </c>
      <c r="AN7" s="126">
        <f t="shared" si="4"/>
        <v>0</v>
      </c>
      <c r="AO7" s="121">
        <f t="shared" si="4"/>
        <v>20292</v>
      </c>
      <c r="AP7" s="125">
        <f t="shared" si="4"/>
        <v>39036</v>
      </c>
      <c r="AQ7" s="128">
        <f t="shared" si="4"/>
        <v>0</v>
      </c>
      <c r="AR7" s="121"/>
      <c r="AS7" s="120" t="s">
        <v>254</v>
      </c>
      <c r="AT7" s="121"/>
      <c r="AU7" s="122">
        <f aca="true" t="shared" si="5" ref="AU7:AU37">SUM(AW7,BE7,BK7,BS7,BL7,CA7,CG7,CJ7,CM7,CN7,CO7,CR7,CS7,CT7,CU7,CX7,CY7,CZ7)</f>
        <v>72476</v>
      </c>
      <c r="AV7" s="129"/>
      <c r="AW7" s="130">
        <f aca="true" t="shared" si="6" ref="AW7:CB7">SUM(AW8:AW9)</f>
        <v>26</v>
      </c>
      <c r="AX7" s="126">
        <f t="shared" si="6"/>
        <v>0</v>
      </c>
      <c r="AY7" s="126">
        <f t="shared" si="6"/>
        <v>26</v>
      </c>
      <c r="AZ7" s="126">
        <f t="shared" si="6"/>
        <v>0</v>
      </c>
      <c r="BA7" s="126">
        <f t="shared" si="6"/>
        <v>0</v>
      </c>
      <c r="BB7" s="126">
        <f t="shared" si="6"/>
        <v>0</v>
      </c>
      <c r="BC7" s="126">
        <f t="shared" si="6"/>
        <v>0</v>
      </c>
      <c r="BD7" s="126">
        <f t="shared" si="6"/>
        <v>0</v>
      </c>
      <c r="BE7" s="125">
        <f t="shared" si="6"/>
        <v>30</v>
      </c>
      <c r="BF7" s="126">
        <f t="shared" si="6"/>
        <v>0</v>
      </c>
      <c r="BG7" s="126">
        <f t="shared" si="6"/>
        <v>0</v>
      </c>
      <c r="BH7" s="126">
        <f t="shared" si="6"/>
        <v>0</v>
      </c>
      <c r="BI7" s="126">
        <f t="shared" si="6"/>
        <v>0</v>
      </c>
      <c r="BJ7" s="131">
        <f t="shared" si="6"/>
        <v>30</v>
      </c>
      <c r="BK7" s="125">
        <f t="shared" si="6"/>
        <v>40</v>
      </c>
      <c r="BL7" s="123">
        <f t="shared" si="6"/>
        <v>10</v>
      </c>
      <c r="BM7" s="126">
        <f t="shared" si="6"/>
        <v>0</v>
      </c>
      <c r="BN7" s="126">
        <f t="shared" si="6"/>
        <v>0</v>
      </c>
      <c r="BO7" s="126">
        <f t="shared" si="6"/>
        <v>0</v>
      </c>
      <c r="BP7" s="126">
        <f t="shared" si="6"/>
        <v>0</v>
      </c>
      <c r="BQ7" s="126">
        <f t="shared" si="6"/>
        <v>10</v>
      </c>
      <c r="BR7" s="126">
        <f t="shared" si="6"/>
        <v>0</v>
      </c>
      <c r="BS7" s="125">
        <f t="shared" si="6"/>
        <v>30</v>
      </c>
      <c r="BT7" s="126">
        <f t="shared" si="6"/>
        <v>0</v>
      </c>
      <c r="BU7" s="126">
        <f t="shared" si="6"/>
        <v>0</v>
      </c>
      <c r="BV7" s="126">
        <f t="shared" si="6"/>
        <v>0</v>
      </c>
      <c r="BW7" s="126">
        <f t="shared" si="6"/>
        <v>0</v>
      </c>
      <c r="BX7" s="126">
        <f t="shared" si="6"/>
        <v>0</v>
      </c>
      <c r="BY7" s="126">
        <f t="shared" si="6"/>
        <v>0</v>
      </c>
      <c r="BZ7" s="126">
        <f t="shared" si="6"/>
        <v>30</v>
      </c>
      <c r="CA7" s="125">
        <f t="shared" si="6"/>
        <v>0</v>
      </c>
      <c r="CB7" s="126">
        <f t="shared" si="6"/>
        <v>0</v>
      </c>
      <c r="CC7" s="126">
        <f aca="true" t="shared" si="7" ref="CC7:CZ7">SUM(CC8:CC9)</f>
        <v>0</v>
      </c>
      <c r="CD7" s="126">
        <f t="shared" si="7"/>
        <v>0</v>
      </c>
      <c r="CE7" s="126">
        <f t="shared" si="7"/>
        <v>0</v>
      </c>
      <c r="CF7" s="126">
        <f t="shared" si="7"/>
        <v>0</v>
      </c>
      <c r="CG7" s="125">
        <f t="shared" si="7"/>
        <v>0</v>
      </c>
      <c r="CH7" s="126">
        <f t="shared" si="7"/>
        <v>0</v>
      </c>
      <c r="CI7" s="126">
        <f t="shared" si="7"/>
        <v>0</v>
      </c>
      <c r="CJ7" s="125">
        <f t="shared" si="7"/>
        <v>0</v>
      </c>
      <c r="CK7" s="125">
        <f t="shared" si="7"/>
        <v>0</v>
      </c>
      <c r="CL7" s="125">
        <f t="shared" si="7"/>
        <v>0</v>
      </c>
      <c r="CM7" s="125">
        <f t="shared" si="7"/>
        <v>0</v>
      </c>
      <c r="CN7" s="125">
        <f t="shared" si="7"/>
        <v>0</v>
      </c>
      <c r="CO7" s="125">
        <f t="shared" si="7"/>
        <v>0</v>
      </c>
      <c r="CP7" s="125">
        <f t="shared" si="7"/>
        <v>0</v>
      </c>
      <c r="CQ7" s="125">
        <f t="shared" si="7"/>
        <v>0</v>
      </c>
      <c r="CR7" s="125">
        <f t="shared" si="7"/>
        <v>0</v>
      </c>
      <c r="CS7" s="125">
        <f t="shared" si="7"/>
        <v>0</v>
      </c>
      <c r="CT7" s="125">
        <f t="shared" si="7"/>
        <v>0</v>
      </c>
      <c r="CU7" s="125">
        <f t="shared" si="7"/>
        <v>72340</v>
      </c>
      <c r="CV7" s="126">
        <f t="shared" si="7"/>
        <v>72340</v>
      </c>
      <c r="CW7" s="126">
        <f t="shared" si="7"/>
        <v>0</v>
      </c>
      <c r="CX7" s="126">
        <f t="shared" si="7"/>
        <v>0</v>
      </c>
      <c r="CY7" s="131">
        <f t="shared" si="7"/>
        <v>0</v>
      </c>
      <c r="CZ7" s="128">
        <f t="shared" si="7"/>
        <v>0</v>
      </c>
    </row>
    <row r="8" spans="1:104" ht="12.75" customHeight="1" thickBot="1" thickTop="1">
      <c r="A8" s="132"/>
      <c r="B8" s="8" t="s">
        <v>255</v>
      </c>
      <c r="C8" s="133">
        <f t="shared" si="3"/>
        <v>59328</v>
      </c>
      <c r="D8" s="588"/>
      <c r="E8" s="134">
        <f>SUM(F8:K8)</f>
        <v>0</v>
      </c>
      <c r="F8" s="135"/>
      <c r="G8" s="135"/>
      <c r="H8" s="135"/>
      <c r="I8" s="135"/>
      <c r="J8" s="135"/>
      <c r="K8" s="135"/>
      <c r="L8" s="136">
        <f>SUM(M8:V8)</f>
        <v>0</v>
      </c>
      <c r="M8" s="135"/>
      <c r="N8" s="135"/>
      <c r="O8" s="135"/>
      <c r="P8" s="135"/>
      <c r="Q8" s="135"/>
      <c r="R8" s="135"/>
      <c r="S8" s="135"/>
      <c r="T8" s="137"/>
      <c r="U8" s="135"/>
      <c r="V8" s="135"/>
      <c r="W8" s="136">
        <f>SUM(X8:AI8)</f>
        <v>0</v>
      </c>
      <c r="X8" s="135">
        <f>příjmy!B62</f>
        <v>0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8"/>
      <c r="AK8" s="139"/>
      <c r="AL8" s="136">
        <f>SUM(AM8:AO8)</f>
        <v>20292</v>
      </c>
      <c r="AM8" s="135"/>
      <c r="AN8" s="135"/>
      <c r="AO8" s="140">
        <f>příjmy!B241+příjmy!B240</f>
        <v>20292</v>
      </c>
      <c r="AP8" s="139">
        <f>příjmy!B261+příjmy!B262+příjmy!B296+příjmy!B299</f>
        <v>39036</v>
      </c>
      <c r="AQ8" s="141">
        <f>příjmy!B292</f>
        <v>0</v>
      </c>
      <c r="AR8" s="7"/>
      <c r="AS8" s="132"/>
      <c r="AT8" s="8" t="s">
        <v>256</v>
      </c>
      <c r="AU8" s="133">
        <f t="shared" si="5"/>
        <v>72476</v>
      </c>
      <c r="AV8" s="8"/>
      <c r="AW8" s="142">
        <f>SUM(AX8:BD8)</f>
        <v>26</v>
      </c>
      <c r="AX8" s="135"/>
      <c r="AY8" s="135">
        <f>výdaje!B29</f>
        <v>26</v>
      </c>
      <c r="AZ8" s="135"/>
      <c r="BA8" s="135">
        <f>výdaje!B65</f>
        <v>0</v>
      </c>
      <c r="BB8" s="135">
        <f>výdaje!B93</f>
        <v>0</v>
      </c>
      <c r="BC8" s="135"/>
      <c r="BD8" s="135"/>
      <c r="BE8" s="143">
        <f>SUM(BF8:BJ8)</f>
        <v>30</v>
      </c>
      <c r="BF8" s="135"/>
      <c r="BG8" s="135"/>
      <c r="BH8" s="135"/>
      <c r="BI8" s="135"/>
      <c r="BJ8" s="144">
        <f>výdaje!B189</f>
        <v>30</v>
      </c>
      <c r="BK8" s="139">
        <f>výdaje!B238</f>
        <v>40</v>
      </c>
      <c r="BL8" s="145">
        <f>SUM(BM8:BR8)</f>
        <v>10</v>
      </c>
      <c r="BM8" s="135"/>
      <c r="BN8" s="135"/>
      <c r="BO8" s="135">
        <f>výdaje!B279</f>
        <v>0</v>
      </c>
      <c r="BP8" s="135"/>
      <c r="BQ8" s="135">
        <f>výdaje!B306</f>
        <v>10</v>
      </c>
      <c r="BR8" s="135"/>
      <c r="BS8" s="143">
        <f>SUM(BT8:BZ8)</f>
        <v>30</v>
      </c>
      <c r="BT8" s="135"/>
      <c r="BU8" s="135"/>
      <c r="BV8" s="135"/>
      <c r="BW8" s="135"/>
      <c r="BX8" s="135"/>
      <c r="BY8" s="135"/>
      <c r="BZ8" s="135">
        <f>výdaje!B412</f>
        <v>30</v>
      </c>
      <c r="CA8" s="143">
        <f>SUM(CB8:CF8)</f>
        <v>0</v>
      </c>
      <c r="CB8" s="135">
        <f>výdaje!B463</f>
        <v>0</v>
      </c>
      <c r="CC8" s="135"/>
      <c r="CD8" s="135"/>
      <c r="CE8" s="135"/>
      <c r="CF8" s="135"/>
      <c r="CG8" s="143">
        <f>SUM(CH8:CI8)</f>
        <v>0</v>
      </c>
      <c r="CH8" s="135"/>
      <c r="CI8" s="135"/>
      <c r="CJ8" s="139">
        <f>SUM(CK8:CL8)</f>
        <v>0</v>
      </c>
      <c r="CK8" s="146"/>
      <c r="CL8" s="147"/>
      <c r="CM8" s="139"/>
      <c r="CN8" s="139"/>
      <c r="CO8" s="139">
        <f>SUM(CP8:CQ8)</f>
        <v>0</v>
      </c>
      <c r="CP8" s="146"/>
      <c r="CQ8" s="147"/>
      <c r="CR8" s="139"/>
      <c r="CS8" s="139">
        <f>výdaje!B695</f>
        <v>0</v>
      </c>
      <c r="CT8" s="139"/>
      <c r="CU8" s="143">
        <f>CV8+CW8</f>
        <v>72340</v>
      </c>
      <c r="CV8" s="135">
        <f>výdaje!B714+výdaje!B717+výdaje!B758+výdaje!B784</f>
        <v>72340</v>
      </c>
      <c r="CW8" s="135"/>
      <c r="CX8" s="148">
        <f>výdaje!B756</f>
        <v>0</v>
      </c>
      <c r="CY8" s="148"/>
      <c r="CZ8" s="141"/>
    </row>
    <row r="9" spans="1:104" ht="12" customHeight="1" thickBot="1" thickTop="1">
      <c r="A9" s="132"/>
      <c r="B9" s="8" t="s">
        <v>257</v>
      </c>
      <c r="C9" s="133">
        <f t="shared" si="3"/>
        <v>0</v>
      </c>
      <c r="D9" s="588"/>
      <c r="E9" s="134">
        <f>SUM(F9:K9)</f>
        <v>0</v>
      </c>
      <c r="F9" s="135"/>
      <c r="G9" s="135"/>
      <c r="H9" s="135"/>
      <c r="I9" s="135"/>
      <c r="J9" s="135"/>
      <c r="K9" s="135"/>
      <c r="L9" s="136">
        <f>SUM(M9:V9)</f>
        <v>0</v>
      </c>
      <c r="M9" s="135" t="s">
        <v>258</v>
      </c>
      <c r="N9" s="135">
        <f>příjmy!B42</f>
        <v>0</v>
      </c>
      <c r="O9" s="135"/>
      <c r="P9" s="135"/>
      <c r="Q9" s="135"/>
      <c r="R9" s="135"/>
      <c r="S9" s="135"/>
      <c r="T9" s="137"/>
      <c r="U9" s="135"/>
      <c r="V9" s="135"/>
      <c r="W9" s="136">
        <f>SUM(X9:AI9)</f>
        <v>0</v>
      </c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8"/>
      <c r="AK9" s="139"/>
      <c r="AL9" s="136">
        <f>SUM(AM9:AO9)</f>
        <v>0</v>
      </c>
      <c r="AM9" s="135"/>
      <c r="AN9" s="135"/>
      <c r="AO9" s="140"/>
      <c r="AP9" s="139"/>
      <c r="AQ9" s="141"/>
      <c r="AR9" s="7"/>
      <c r="AS9" s="132"/>
      <c r="AT9" s="8" t="s">
        <v>257</v>
      </c>
      <c r="AU9" s="133">
        <f t="shared" si="5"/>
        <v>0</v>
      </c>
      <c r="AV9" s="8"/>
      <c r="AW9" s="142">
        <f>SUM(AX9:BD9)</f>
        <v>0</v>
      </c>
      <c r="AX9" s="135"/>
      <c r="AY9" s="135">
        <f>výdaje!B30</f>
        <v>0</v>
      </c>
      <c r="AZ9" s="135"/>
      <c r="BA9" s="135"/>
      <c r="BB9" s="135"/>
      <c r="BC9" s="135"/>
      <c r="BD9" s="135"/>
      <c r="BE9" s="143">
        <f>SUM(BF9:BJ9)</f>
        <v>0</v>
      </c>
      <c r="BF9" s="135"/>
      <c r="BG9" s="135"/>
      <c r="BH9" s="135"/>
      <c r="BI9" s="135"/>
      <c r="BJ9" s="144">
        <f>výdaje!B190</f>
        <v>0</v>
      </c>
      <c r="BK9" s="139"/>
      <c r="BL9" s="145">
        <f>SUM(BM9:BR9)</f>
        <v>0</v>
      </c>
      <c r="BM9" s="135"/>
      <c r="BN9" s="135"/>
      <c r="BO9" s="135"/>
      <c r="BP9" s="135"/>
      <c r="BQ9" s="135">
        <f>výdaje!B307+výdaje!B3288</f>
        <v>0</v>
      </c>
      <c r="BR9" s="135"/>
      <c r="BS9" s="143">
        <f>SUM(BT9:BZ9)</f>
        <v>0</v>
      </c>
      <c r="BT9" s="135"/>
      <c r="BU9" s="135"/>
      <c r="BV9" s="135"/>
      <c r="BW9" s="135"/>
      <c r="BX9" s="135"/>
      <c r="BY9" s="135"/>
      <c r="BZ9" s="135">
        <f>výdaje!B411</f>
        <v>0</v>
      </c>
      <c r="CA9" s="143">
        <f>SUM(CB9:CF9)</f>
        <v>0</v>
      </c>
      <c r="CB9" s="135"/>
      <c r="CC9" s="135"/>
      <c r="CD9" s="135"/>
      <c r="CE9" s="135"/>
      <c r="CF9" s="135"/>
      <c r="CG9" s="143">
        <f>SUM(CH9:CI9)</f>
        <v>0</v>
      </c>
      <c r="CH9" s="135"/>
      <c r="CI9" s="135"/>
      <c r="CJ9" s="139">
        <f>SUM(CK9:CL9)</f>
        <v>0</v>
      </c>
      <c r="CK9" s="149"/>
      <c r="CL9" s="144"/>
      <c r="CM9" s="139"/>
      <c r="CN9" s="139"/>
      <c r="CO9" s="139">
        <f>SUM(CP9:CQ9)</f>
        <v>0</v>
      </c>
      <c r="CP9" s="149"/>
      <c r="CQ9" s="144">
        <f>výdaje!B595</f>
        <v>0</v>
      </c>
      <c r="CR9" s="139"/>
      <c r="CS9" s="139"/>
      <c r="CT9" s="139"/>
      <c r="CU9" s="143">
        <f>CV9+CW9</f>
        <v>0</v>
      </c>
      <c r="CV9" s="135"/>
      <c r="CW9" s="135"/>
      <c r="CX9" s="148"/>
      <c r="CY9" s="148"/>
      <c r="CZ9" s="141"/>
    </row>
    <row r="10" spans="1:104" ht="12" customHeight="1" thickBot="1" thickTop="1">
      <c r="A10" s="150" t="s">
        <v>259</v>
      </c>
      <c r="B10" s="151"/>
      <c r="C10" s="122">
        <f t="shared" si="3"/>
        <v>2656</v>
      </c>
      <c r="D10" s="587"/>
      <c r="E10" s="152">
        <f aca="true" t="shared" si="8" ref="E10:AQ10">SUM(E11:E12)</f>
        <v>0</v>
      </c>
      <c r="F10" s="153">
        <f t="shared" si="8"/>
        <v>0</v>
      </c>
      <c r="G10" s="153">
        <f t="shared" si="8"/>
        <v>0</v>
      </c>
      <c r="H10" s="153">
        <f t="shared" si="8"/>
        <v>0</v>
      </c>
      <c r="I10" s="153">
        <f t="shared" si="8"/>
        <v>0</v>
      </c>
      <c r="J10" s="153">
        <f t="shared" si="8"/>
        <v>0</v>
      </c>
      <c r="K10" s="153">
        <f t="shared" si="8"/>
        <v>0</v>
      </c>
      <c r="L10" s="154">
        <f t="shared" si="8"/>
        <v>0</v>
      </c>
      <c r="M10" s="155">
        <f t="shared" si="8"/>
        <v>0</v>
      </c>
      <c r="N10" s="155">
        <f t="shared" si="8"/>
        <v>0</v>
      </c>
      <c r="O10" s="155">
        <f t="shared" si="8"/>
        <v>0</v>
      </c>
      <c r="P10" s="155">
        <f t="shared" si="8"/>
        <v>0</v>
      </c>
      <c r="Q10" s="155">
        <f t="shared" si="8"/>
        <v>0</v>
      </c>
      <c r="R10" s="155">
        <f t="shared" si="8"/>
        <v>0</v>
      </c>
      <c r="S10" s="155">
        <f t="shared" si="8"/>
        <v>0</v>
      </c>
      <c r="T10" s="155">
        <f t="shared" si="8"/>
        <v>0</v>
      </c>
      <c r="U10" s="155">
        <f t="shared" si="8"/>
        <v>0</v>
      </c>
      <c r="V10" s="155">
        <f t="shared" si="8"/>
        <v>0</v>
      </c>
      <c r="W10" s="154">
        <f t="shared" si="8"/>
        <v>2656</v>
      </c>
      <c r="X10" s="155">
        <f t="shared" si="8"/>
        <v>0</v>
      </c>
      <c r="Y10" s="155">
        <f t="shared" si="8"/>
        <v>0</v>
      </c>
      <c r="Z10" s="155">
        <f t="shared" si="8"/>
        <v>0</v>
      </c>
      <c r="AA10" s="155">
        <f t="shared" si="8"/>
        <v>0</v>
      </c>
      <c r="AB10" s="155">
        <f t="shared" si="8"/>
        <v>0</v>
      </c>
      <c r="AC10" s="155">
        <f t="shared" si="8"/>
        <v>0</v>
      </c>
      <c r="AD10" s="155">
        <f t="shared" si="8"/>
        <v>0</v>
      </c>
      <c r="AE10" s="155">
        <f t="shared" si="8"/>
        <v>0</v>
      </c>
      <c r="AF10" s="155">
        <f t="shared" si="8"/>
        <v>0</v>
      </c>
      <c r="AG10" s="155">
        <f t="shared" si="8"/>
        <v>0</v>
      </c>
      <c r="AH10" s="155">
        <f t="shared" si="8"/>
        <v>2656</v>
      </c>
      <c r="AI10" s="155">
        <f t="shared" si="8"/>
        <v>0</v>
      </c>
      <c r="AJ10" s="156">
        <f t="shared" si="8"/>
        <v>0</v>
      </c>
      <c r="AK10" s="154">
        <f t="shared" si="8"/>
        <v>0</v>
      </c>
      <c r="AL10" s="154">
        <f t="shared" si="8"/>
        <v>0</v>
      </c>
      <c r="AM10" s="155">
        <f t="shared" si="8"/>
        <v>0</v>
      </c>
      <c r="AN10" s="155">
        <f t="shared" si="8"/>
        <v>0</v>
      </c>
      <c r="AO10" s="151">
        <f t="shared" si="8"/>
        <v>0</v>
      </c>
      <c r="AP10" s="154">
        <f t="shared" si="8"/>
        <v>0</v>
      </c>
      <c r="AQ10" s="157">
        <f t="shared" si="8"/>
        <v>0</v>
      </c>
      <c r="AR10" s="151"/>
      <c r="AS10" s="150" t="s">
        <v>259</v>
      </c>
      <c r="AT10" s="151"/>
      <c r="AU10" s="122">
        <f t="shared" si="5"/>
        <v>4318</v>
      </c>
      <c r="AV10" s="129"/>
      <c r="AW10" s="158">
        <f>SUM(AW11:AW12)</f>
        <v>0</v>
      </c>
      <c r="AX10" s="155">
        <f>SUM(AX11:AX12)</f>
        <v>0</v>
      </c>
      <c r="AY10" s="155">
        <f>SUM(AY11:AY12)</f>
        <v>0</v>
      </c>
      <c r="AZ10" s="155">
        <f>SUM(AZ11:AZ12)</f>
        <v>0</v>
      </c>
      <c r="BA10" s="155"/>
      <c r="BB10" s="155">
        <f aca="true" t="shared" si="9" ref="BB10:CG10">SUM(BB11:BB12)</f>
        <v>0</v>
      </c>
      <c r="BC10" s="155">
        <f t="shared" si="9"/>
        <v>0</v>
      </c>
      <c r="BD10" s="155">
        <f t="shared" si="9"/>
        <v>0</v>
      </c>
      <c r="BE10" s="154">
        <f t="shared" si="9"/>
        <v>360</v>
      </c>
      <c r="BF10" s="155">
        <f t="shared" si="9"/>
        <v>0</v>
      </c>
      <c r="BG10" s="155">
        <f t="shared" si="9"/>
        <v>0</v>
      </c>
      <c r="BH10" s="155">
        <f t="shared" si="9"/>
        <v>0</v>
      </c>
      <c r="BI10" s="155">
        <f t="shared" si="9"/>
        <v>0</v>
      </c>
      <c r="BJ10" s="159">
        <f t="shared" si="9"/>
        <v>360</v>
      </c>
      <c r="BK10" s="154">
        <f t="shared" si="9"/>
        <v>0</v>
      </c>
      <c r="BL10" s="152">
        <f t="shared" si="9"/>
        <v>600</v>
      </c>
      <c r="BM10" s="155">
        <f t="shared" si="9"/>
        <v>0</v>
      </c>
      <c r="BN10" s="155">
        <f t="shared" si="9"/>
        <v>0</v>
      </c>
      <c r="BO10" s="155">
        <f t="shared" si="9"/>
        <v>0</v>
      </c>
      <c r="BP10" s="155">
        <f t="shared" si="9"/>
        <v>0</v>
      </c>
      <c r="BQ10" s="155">
        <f t="shared" si="9"/>
        <v>600</v>
      </c>
      <c r="BR10" s="155">
        <f t="shared" si="9"/>
        <v>0</v>
      </c>
      <c r="BS10" s="154">
        <f t="shared" si="9"/>
        <v>57</v>
      </c>
      <c r="BT10" s="155">
        <f t="shared" si="9"/>
        <v>0</v>
      </c>
      <c r="BU10" s="155">
        <f t="shared" si="9"/>
        <v>0</v>
      </c>
      <c r="BV10" s="155">
        <f t="shared" si="9"/>
        <v>0</v>
      </c>
      <c r="BW10" s="155">
        <f t="shared" si="9"/>
        <v>0</v>
      </c>
      <c r="BX10" s="155">
        <f t="shared" si="9"/>
        <v>0</v>
      </c>
      <c r="BY10" s="155">
        <f t="shared" si="9"/>
        <v>0</v>
      </c>
      <c r="BZ10" s="155">
        <f t="shared" si="9"/>
        <v>57</v>
      </c>
      <c r="CA10" s="154">
        <f t="shared" si="9"/>
        <v>0</v>
      </c>
      <c r="CB10" s="155">
        <f t="shared" si="9"/>
        <v>0</v>
      </c>
      <c r="CC10" s="155">
        <f t="shared" si="9"/>
        <v>0</v>
      </c>
      <c r="CD10" s="155">
        <f t="shared" si="9"/>
        <v>0</v>
      </c>
      <c r="CE10" s="155">
        <f t="shared" si="9"/>
        <v>0</v>
      </c>
      <c r="CF10" s="155">
        <f t="shared" si="9"/>
        <v>0</v>
      </c>
      <c r="CG10" s="154">
        <f t="shared" si="9"/>
        <v>0</v>
      </c>
      <c r="CH10" s="155">
        <f aca="true" t="shared" si="10" ref="CH10:CZ10">SUM(CH11:CH12)</f>
        <v>0</v>
      </c>
      <c r="CI10" s="155">
        <f t="shared" si="10"/>
        <v>0</v>
      </c>
      <c r="CJ10" s="154">
        <f t="shared" si="10"/>
        <v>0</v>
      </c>
      <c r="CK10" s="154">
        <f t="shared" si="10"/>
        <v>0</v>
      </c>
      <c r="CL10" s="154">
        <f t="shared" si="10"/>
        <v>0</v>
      </c>
      <c r="CM10" s="154">
        <f t="shared" si="10"/>
        <v>0</v>
      </c>
      <c r="CN10" s="154">
        <f t="shared" si="10"/>
        <v>0</v>
      </c>
      <c r="CO10" s="154">
        <f t="shared" si="10"/>
        <v>0</v>
      </c>
      <c r="CP10" s="154">
        <f t="shared" si="10"/>
        <v>0</v>
      </c>
      <c r="CQ10" s="154">
        <f t="shared" si="10"/>
        <v>0</v>
      </c>
      <c r="CR10" s="154">
        <f t="shared" si="10"/>
        <v>0</v>
      </c>
      <c r="CS10" s="154">
        <f t="shared" si="10"/>
        <v>0</v>
      </c>
      <c r="CT10" s="154">
        <f t="shared" si="10"/>
        <v>0</v>
      </c>
      <c r="CU10" s="154">
        <f t="shared" si="10"/>
        <v>3301</v>
      </c>
      <c r="CV10" s="155">
        <f t="shared" si="10"/>
        <v>3301</v>
      </c>
      <c r="CW10" s="155">
        <f t="shared" si="10"/>
        <v>0</v>
      </c>
      <c r="CX10" s="155">
        <f t="shared" si="10"/>
        <v>0</v>
      </c>
      <c r="CY10" s="155">
        <f t="shared" si="10"/>
        <v>0</v>
      </c>
      <c r="CZ10" s="157">
        <f t="shared" si="10"/>
        <v>0</v>
      </c>
    </row>
    <row r="11" spans="1:104" ht="12.75" customHeight="1" thickBot="1" thickTop="1">
      <c r="A11" s="132"/>
      <c r="B11" s="8" t="s">
        <v>260</v>
      </c>
      <c r="C11" s="133">
        <f t="shared" si="3"/>
        <v>0</v>
      </c>
      <c r="D11" s="588"/>
      <c r="E11" s="134">
        <f>SUM(F11:K11)</f>
        <v>0</v>
      </c>
      <c r="F11" s="135"/>
      <c r="G11" s="135"/>
      <c r="H11" s="135"/>
      <c r="I11" s="135"/>
      <c r="J11" s="135"/>
      <c r="K11" s="135"/>
      <c r="L11" s="136">
        <f>SUM(M11:V11)</f>
        <v>0</v>
      </c>
      <c r="M11" s="135">
        <f>příjmy!B22</f>
        <v>0</v>
      </c>
      <c r="N11" s="135"/>
      <c r="O11" s="135"/>
      <c r="P11" s="135"/>
      <c r="Q11" s="135"/>
      <c r="R11" s="135"/>
      <c r="S11" s="135"/>
      <c r="T11" s="137"/>
      <c r="U11" s="135"/>
      <c r="V11" s="135"/>
      <c r="W11" s="136">
        <f>SUM(X11:AI11)</f>
        <v>0</v>
      </c>
      <c r="X11" s="135"/>
      <c r="Y11" s="135"/>
      <c r="Z11" s="135"/>
      <c r="AA11" s="135"/>
      <c r="AB11" s="135"/>
      <c r="AC11" s="135"/>
      <c r="AD11" s="135"/>
      <c r="AE11" s="135">
        <f>příjmy!B118</f>
        <v>0</v>
      </c>
      <c r="AF11" s="135"/>
      <c r="AG11" s="135"/>
      <c r="AH11" s="135">
        <f>příjmy!B139</f>
        <v>0</v>
      </c>
      <c r="AI11" s="135"/>
      <c r="AJ11" s="138"/>
      <c r="AK11" s="139"/>
      <c r="AL11" s="136">
        <f>SUM(AM11:AO11)</f>
        <v>0</v>
      </c>
      <c r="AM11" s="135"/>
      <c r="AN11" s="135"/>
      <c r="AO11" s="140"/>
      <c r="AP11" s="139">
        <f>příjmy!B171+příjmy!B301+příjmy!B302+příjmy!B303+příjmy!B304+příjmy!B295+příjmy!B297+příjmy!B298</f>
        <v>0</v>
      </c>
      <c r="AQ11" s="141"/>
      <c r="AR11" s="7"/>
      <c r="AS11" s="132"/>
      <c r="AT11" s="8" t="s">
        <v>260</v>
      </c>
      <c r="AU11" s="133">
        <f t="shared" si="5"/>
        <v>1367</v>
      </c>
      <c r="AV11" s="8"/>
      <c r="AW11" s="142">
        <f>SUM(AX11:BD11)</f>
        <v>0</v>
      </c>
      <c r="AX11" s="135"/>
      <c r="AY11" s="135"/>
      <c r="AZ11" s="135"/>
      <c r="BA11" s="135"/>
      <c r="BB11" s="135"/>
      <c r="BC11" s="135"/>
      <c r="BD11" s="135"/>
      <c r="BE11" s="143">
        <f>SUM(BF11:BJ11)</f>
        <v>360</v>
      </c>
      <c r="BF11" s="135">
        <f>výdaje!B135</f>
        <v>0</v>
      </c>
      <c r="BG11" s="135"/>
      <c r="BH11" s="135">
        <f>výdaje!B154</f>
        <v>0</v>
      </c>
      <c r="BI11" s="135"/>
      <c r="BJ11" s="144">
        <f>výdaje!B191</f>
        <v>360</v>
      </c>
      <c r="BK11" s="139"/>
      <c r="BL11" s="145">
        <f>SUM(BM11:BR11)</f>
        <v>600</v>
      </c>
      <c r="BM11" s="135"/>
      <c r="BN11" s="135"/>
      <c r="BO11" s="135"/>
      <c r="BP11" s="135"/>
      <c r="BQ11" s="135">
        <f>výdaje!B308</f>
        <v>600</v>
      </c>
      <c r="BR11" s="135"/>
      <c r="BS11" s="143">
        <f>SUM(BT11:BZ11)</f>
        <v>57</v>
      </c>
      <c r="BT11" s="135"/>
      <c r="BU11" s="135">
        <f>výdaje!B347</f>
        <v>0</v>
      </c>
      <c r="BV11" s="135">
        <f>výdaje!B371</f>
        <v>0</v>
      </c>
      <c r="BW11" s="135"/>
      <c r="BX11" s="135"/>
      <c r="BY11" s="135"/>
      <c r="BZ11" s="135">
        <f>výdaje!B413</f>
        <v>57</v>
      </c>
      <c r="CA11" s="143">
        <f>SUM(CB11:CF11)</f>
        <v>0</v>
      </c>
      <c r="CB11" s="135">
        <f>výdaje!B464+výdaje!B757</f>
        <v>0</v>
      </c>
      <c r="CC11" s="135"/>
      <c r="CD11" s="135"/>
      <c r="CE11" s="135"/>
      <c r="CF11" s="135"/>
      <c r="CG11" s="143">
        <f>SUM(CH11:CI11)</f>
        <v>0</v>
      </c>
      <c r="CH11" s="135"/>
      <c r="CI11" s="135"/>
      <c r="CJ11" s="139">
        <f>SUM(CK11:CL11)</f>
        <v>0</v>
      </c>
      <c r="CK11" s="146"/>
      <c r="CL11" s="147"/>
      <c r="CM11" s="139"/>
      <c r="CN11" s="139"/>
      <c r="CO11" s="139">
        <f>SUM(CP11:CQ11)</f>
        <v>0</v>
      </c>
      <c r="CP11" s="146"/>
      <c r="CQ11" s="147"/>
      <c r="CR11" s="139"/>
      <c r="CS11" s="139"/>
      <c r="CT11" s="139"/>
      <c r="CU11" s="143">
        <f>CV11+CW11</f>
        <v>350</v>
      </c>
      <c r="CV11" s="135">
        <f>výdaje!B735+výdaje!B746+výdaje!B729+výdaje!B731+výdaje!B732+výdaje!B762+výdaje!B730+výdaje!B763+výdaje!B768+výdaje!B769+výdaje!B770+výdaje!B772+výdaje!B771+výdaje!B783</f>
        <v>350</v>
      </c>
      <c r="CW11" s="135"/>
      <c r="CX11" s="148"/>
      <c r="CY11" s="148">
        <f>výdaje!B629</f>
        <v>0</v>
      </c>
      <c r="CZ11" s="141"/>
    </row>
    <row r="12" spans="1:104" ht="12.75" customHeight="1" thickBot="1" thickTop="1">
      <c r="A12" s="132"/>
      <c r="B12" s="8" t="s">
        <v>261</v>
      </c>
      <c r="C12" s="133">
        <f t="shared" si="3"/>
        <v>2656</v>
      </c>
      <c r="D12" s="588"/>
      <c r="E12" s="134">
        <f>SUM(F12:K12)</f>
        <v>0</v>
      </c>
      <c r="F12" s="135"/>
      <c r="G12" s="135"/>
      <c r="H12" s="135"/>
      <c r="I12" s="135"/>
      <c r="J12" s="135"/>
      <c r="K12" s="135"/>
      <c r="L12" s="136">
        <f>SUM(M12:V12)</f>
        <v>0</v>
      </c>
      <c r="M12" s="135"/>
      <c r="N12" s="135"/>
      <c r="O12" s="135"/>
      <c r="P12" s="135"/>
      <c r="Q12" s="135"/>
      <c r="R12" s="135"/>
      <c r="S12" s="135"/>
      <c r="T12" s="137"/>
      <c r="U12" s="135"/>
      <c r="V12" s="135"/>
      <c r="W12" s="136">
        <f>SUM(X12:AI12)</f>
        <v>2656</v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>
        <f>příjmy!B173+příjmy!B172</f>
        <v>2656</v>
      </c>
      <c r="AI12" s="135"/>
      <c r="AJ12" s="138"/>
      <c r="AK12" s="139"/>
      <c r="AL12" s="136">
        <f>SUM(AM12:AO12)</f>
        <v>0</v>
      </c>
      <c r="AM12" s="135"/>
      <c r="AN12" s="135"/>
      <c r="AO12" s="140"/>
      <c r="AP12" s="139"/>
      <c r="AQ12" s="141"/>
      <c r="AR12" s="7"/>
      <c r="AS12" s="132"/>
      <c r="AT12" s="8" t="s">
        <v>261</v>
      </c>
      <c r="AU12" s="133">
        <f t="shared" si="5"/>
        <v>2951</v>
      </c>
      <c r="AV12" s="8"/>
      <c r="AW12" s="142">
        <f>SUM(AX12:BD12)</f>
        <v>0</v>
      </c>
      <c r="AX12" s="135"/>
      <c r="AY12" s="135"/>
      <c r="AZ12" s="135"/>
      <c r="BA12" s="135"/>
      <c r="BB12" s="135"/>
      <c r="BC12" s="135"/>
      <c r="BD12" s="135"/>
      <c r="BE12" s="143">
        <f>SUM(BF12:BJ12)</f>
        <v>0</v>
      </c>
      <c r="BF12" s="135"/>
      <c r="BG12" s="135"/>
      <c r="BH12" s="135"/>
      <c r="BI12" s="135"/>
      <c r="BJ12" s="144">
        <f>výdaje!B192</f>
        <v>0</v>
      </c>
      <c r="BK12" s="139"/>
      <c r="BL12" s="145">
        <f>SUM(BM12:BR12)</f>
        <v>0</v>
      </c>
      <c r="BM12" s="135"/>
      <c r="BN12" s="135"/>
      <c r="BO12" s="135"/>
      <c r="BP12" s="135"/>
      <c r="BQ12" s="135"/>
      <c r="BR12" s="135"/>
      <c r="BS12" s="143">
        <f>SUM(BT12:BZ12)</f>
        <v>0</v>
      </c>
      <c r="BT12" s="135"/>
      <c r="BU12" s="135"/>
      <c r="BV12" s="135"/>
      <c r="BW12" s="135"/>
      <c r="BX12" s="135"/>
      <c r="BY12" s="135"/>
      <c r="BZ12" s="135"/>
      <c r="CA12" s="143">
        <f>SUM(CB12:CF12)</f>
        <v>0</v>
      </c>
      <c r="CB12" s="135"/>
      <c r="CC12" s="135"/>
      <c r="CD12" s="135"/>
      <c r="CE12" s="135"/>
      <c r="CF12" s="135"/>
      <c r="CG12" s="143">
        <f>SUM(CH12:CI12)</f>
        <v>0</v>
      </c>
      <c r="CH12" s="135"/>
      <c r="CI12" s="135"/>
      <c r="CJ12" s="139">
        <f>SUM(CK12:CL12)</f>
        <v>0</v>
      </c>
      <c r="CK12" s="160">
        <f>výdaje!B545</f>
        <v>0</v>
      </c>
      <c r="CL12" s="161"/>
      <c r="CM12" s="139"/>
      <c r="CN12" s="139"/>
      <c r="CO12" s="139">
        <f>SUM(CP12:CQ12)</f>
        <v>0</v>
      </c>
      <c r="CP12" s="160"/>
      <c r="CQ12" s="161">
        <f>výdaje!B596</f>
        <v>0</v>
      </c>
      <c r="CR12" s="139"/>
      <c r="CS12" s="139"/>
      <c r="CT12" s="139"/>
      <c r="CU12" s="143">
        <f>CV12+CW12</f>
        <v>2951</v>
      </c>
      <c r="CV12" s="135">
        <f>výdaje!B785</f>
        <v>2951</v>
      </c>
      <c r="CW12" s="135"/>
      <c r="CX12" s="148"/>
      <c r="CY12" s="148"/>
      <c r="CZ12" s="141"/>
    </row>
    <row r="13" spans="1:104" ht="12" customHeight="1" thickBot="1" thickTop="1">
      <c r="A13" s="150" t="s">
        <v>262</v>
      </c>
      <c r="B13" s="151"/>
      <c r="C13" s="122">
        <f t="shared" si="3"/>
        <v>4982</v>
      </c>
      <c r="D13" s="587"/>
      <c r="E13" s="152">
        <f aca="true" t="shared" si="11" ref="E13:AQ13">SUM(E14:E17)</f>
        <v>0</v>
      </c>
      <c r="F13" s="153">
        <f t="shared" si="11"/>
        <v>0</v>
      </c>
      <c r="G13" s="153">
        <f t="shared" si="11"/>
        <v>0</v>
      </c>
      <c r="H13" s="153">
        <f t="shared" si="11"/>
        <v>0</v>
      </c>
      <c r="I13" s="153">
        <f t="shared" si="11"/>
        <v>0</v>
      </c>
      <c r="J13" s="153">
        <f t="shared" si="11"/>
        <v>0</v>
      </c>
      <c r="K13" s="153">
        <f t="shared" si="11"/>
        <v>0</v>
      </c>
      <c r="L13" s="154">
        <f t="shared" si="11"/>
        <v>0</v>
      </c>
      <c r="M13" s="155">
        <f t="shared" si="11"/>
        <v>0</v>
      </c>
      <c r="N13" s="155">
        <f t="shared" si="11"/>
        <v>0</v>
      </c>
      <c r="O13" s="155">
        <f t="shared" si="11"/>
        <v>0</v>
      </c>
      <c r="P13" s="155">
        <f t="shared" si="11"/>
        <v>0</v>
      </c>
      <c r="Q13" s="155">
        <f t="shared" si="11"/>
        <v>0</v>
      </c>
      <c r="R13" s="155">
        <f t="shared" si="11"/>
        <v>0</v>
      </c>
      <c r="S13" s="155">
        <f t="shared" si="11"/>
        <v>0</v>
      </c>
      <c r="T13" s="155">
        <f t="shared" si="11"/>
        <v>0</v>
      </c>
      <c r="U13" s="155">
        <f t="shared" si="11"/>
        <v>0</v>
      </c>
      <c r="V13" s="155">
        <f t="shared" si="11"/>
        <v>0</v>
      </c>
      <c r="W13" s="154">
        <f t="shared" si="11"/>
        <v>0</v>
      </c>
      <c r="X13" s="155">
        <f t="shared" si="11"/>
        <v>0</v>
      </c>
      <c r="Y13" s="155">
        <f t="shared" si="11"/>
        <v>0</v>
      </c>
      <c r="Z13" s="155">
        <f t="shared" si="11"/>
        <v>0</v>
      </c>
      <c r="AA13" s="155">
        <f t="shared" si="11"/>
        <v>0</v>
      </c>
      <c r="AB13" s="155">
        <f t="shared" si="11"/>
        <v>0</v>
      </c>
      <c r="AC13" s="155">
        <f t="shared" si="11"/>
        <v>0</v>
      </c>
      <c r="AD13" s="155">
        <f t="shared" si="11"/>
        <v>0</v>
      </c>
      <c r="AE13" s="155">
        <f t="shared" si="11"/>
        <v>0</v>
      </c>
      <c r="AF13" s="155">
        <f t="shared" si="11"/>
        <v>0</v>
      </c>
      <c r="AG13" s="155">
        <f t="shared" si="11"/>
        <v>0</v>
      </c>
      <c r="AH13" s="155">
        <f t="shared" si="11"/>
        <v>0</v>
      </c>
      <c r="AI13" s="155">
        <f t="shared" si="11"/>
        <v>0</v>
      </c>
      <c r="AJ13" s="156">
        <f t="shared" si="11"/>
        <v>0</v>
      </c>
      <c r="AK13" s="154">
        <f t="shared" si="11"/>
        <v>0</v>
      </c>
      <c r="AL13" s="154">
        <f t="shared" si="11"/>
        <v>0</v>
      </c>
      <c r="AM13" s="155">
        <f t="shared" si="11"/>
        <v>0</v>
      </c>
      <c r="AN13" s="155">
        <f t="shared" si="11"/>
        <v>0</v>
      </c>
      <c r="AO13" s="151">
        <f t="shared" si="11"/>
        <v>0</v>
      </c>
      <c r="AP13" s="154">
        <f t="shared" si="11"/>
        <v>4938</v>
      </c>
      <c r="AQ13" s="157">
        <f t="shared" si="11"/>
        <v>44</v>
      </c>
      <c r="AR13" s="151"/>
      <c r="AS13" s="150" t="s">
        <v>262</v>
      </c>
      <c r="AT13" s="151"/>
      <c r="AU13" s="122">
        <f t="shared" si="5"/>
        <v>14885</v>
      </c>
      <c r="AV13" s="129"/>
      <c r="AW13" s="158">
        <f aca="true" t="shared" si="12" ref="AW13:CB13">SUM(AW14:AW17)</f>
        <v>0</v>
      </c>
      <c r="AX13" s="155">
        <f t="shared" si="12"/>
        <v>0</v>
      </c>
      <c r="AY13" s="155">
        <f t="shared" si="12"/>
        <v>0</v>
      </c>
      <c r="AZ13" s="155">
        <f t="shared" si="12"/>
        <v>0</v>
      </c>
      <c r="BA13" s="155">
        <f t="shared" si="12"/>
        <v>0</v>
      </c>
      <c r="BB13" s="155">
        <f t="shared" si="12"/>
        <v>0</v>
      </c>
      <c r="BC13" s="155">
        <f t="shared" si="12"/>
        <v>0</v>
      </c>
      <c r="BD13" s="155">
        <f t="shared" si="12"/>
        <v>0</v>
      </c>
      <c r="BE13" s="154">
        <f t="shared" si="12"/>
        <v>0</v>
      </c>
      <c r="BF13" s="155">
        <f t="shared" si="12"/>
        <v>0</v>
      </c>
      <c r="BG13" s="155">
        <f t="shared" si="12"/>
        <v>0</v>
      </c>
      <c r="BH13" s="155">
        <f t="shared" si="12"/>
        <v>0</v>
      </c>
      <c r="BI13" s="155">
        <f t="shared" si="12"/>
        <v>0</v>
      </c>
      <c r="BJ13" s="159">
        <f t="shared" si="12"/>
        <v>0</v>
      </c>
      <c r="BK13" s="154">
        <f t="shared" si="12"/>
        <v>0</v>
      </c>
      <c r="BL13" s="152">
        <f t="shared" si="12"/>
        <v>0</v>
      </c>
      <c r="BM13" s="155">
        <f t="shared" si="12"/>
        <v>0</v>
      </c>
      <c r="BN13" s="155">
        <f t="shared" si="12"/>
        <v>0</v>
      </c>
      <c r="BO13" s="155">
        <f t="shared" si="12"/>
        <v>0</v>
      </c>
      <c r="BP13" s="155">
        <f t="shared" si="12"/>
        <v>0</v>
      </c>
      <c r="BQ13" s="155">
        <f t="shared" si="12"/>
        <v>0</v>
      </c>
      <c r="BR13" s="155">
        <f t="shared" si="12"/>
        <v>0</v>
      </c>
      <c r="BS13" s="154">
        <f t="shared" si="12"/>
        <v>0</v>
      </c>
      <c r="BT13" s="155">
        <f t="shared" si="12"/>
        <v>0</v>
      </c>
      <c r="BU13" s="155">
        <f t="shared" si="12"/>
        <v>0</v>
      </c>
      <c r="BV13" s="155">
        <f t="shared" si="12"/>
        <v>0</v>
      </c>
      <c r="BW13" s="155">
        <f t="shared" si="12"/>
        <v>0</v>
      </c>
      <c r="BX13" s="155">
        <f t="shared" si="12"/>
        <v>0</v>
      </c>
      <c r="BY13" s="155">
        <f t="shared" si="12"/>
        <v>0</v>
      </c>
      <c r="BZ13" s="155">
        <f t="shared" si="12"/>
        <v>0</v>
      </c>
      <c r="CA13" s="154">
        <f t="shared" si="12"/>
        <v>0</v>
      </c>
      <c r="CB13" s="155">
        <f t="shared" si="12"/>
        <v>0</v>
      </c>
      <c r="CC13" s="155">
        <f aca="true" t="shared" si="13" ref="CC13:CZ13">SUM(CC14:CC17)</f>
        <v>0</v>
      </c>
      <c r="CD13" s="155">
        <f t="shared" si="13"/>
        <v>0</v>
      </c>
      <c r="CE13" s="155">
        <f t="shared" si="13"/>
        <v>0</v>
      </c>
      <c r="CF13" s="155">
        <f t="shared" si="13"/>
        <v>0</v>
      </c>
      <c r="CG13" s="154">
        <f t="shared" si="13"/>
        <v>0</v>
      </c>
      <c r="CH13" s="155">
        <f t="shared" si="13"/>
        <v>0</v>
      </c>
      <c r="CI13" s="155">
        <f t="shared" si="13"/>
        <v>0</v>
      </c>
      <c r="CJ13" s="154">
        <f t="shared" si="13"/>
        <v>0</v>
      </c>
      <c r="CK13" s="154">
        <f t="shared" si="13"/>
        <v>0</v>
      </c>
      <c r="CL13" s="154">
        <f t="shared" si="13"/>
        <v>0</v>
      </c>
      <c r="CM13" s="154">
        <f t="shared" si="13"/>
        <v>0</v>
      </c>
      <c r="CN13" s="154">
        <f t="shared" si="13"/>
        <v>0</v>
      </c>
      <c r="CO13" s="154">
        <f t="shared" si="13"/>
        <v>0</v>
      </c>
      <c r="CP13" s="154">
        <f t="shared" si="13"/>
        <v>0</v>
      </c>
      <c r="CQ13" s="154">
        <f t="shared" si="13"/>
        <v>0</v>
      </c>
      <c r="CR13" s="154">
        <f t="shared" si="13"/>
        <v>0</v>
      </c>
      <c r="CS13" s="154">
        <f t="shared" si="13"/>
        <v>5400</v>
      </c>
      <c r="CT13" s="154">
        <f t="shared" si="13"/>
        <v>0</v>
      </c>
      <c r="CU13" s="154">
        <f t="shared" si="13"/>
        <v>9485</v>
      </c>
      <c r="CV13" s="155">
        <f t="shared" si="13"/>
        <v>9485</v>
      </c>
      <c r="CW13" s="155">
        <f t="shared" si="13"/>
        <v>0</v>
      </c>
      <c r="CX13" s="155">
        <f t="shared" si="13"/>
        <v>0</v>
      </c>
      <c r="CY13" s="155">
        <f t="shared" si="13"/>
        <v>0</v>
      </c>
      <c r="CZ13" s="157">
        <f t="shared" si="13"/>
        <v>0</v>
      </c>
    </row>
    <row r="14" spans="1:112" ht="12" customHeight="1" thickBot="1" thickTop="1">
      <c r="A14" s="132"/>
      <c r="B14" s="162" t="s">
        <v>263</v>
      </c>
      <c r="C14" s="133">
        <f t="shared" si="3"/>
        <v>0</v>
      </c>
      <c r="D14" s="588"/>
      <c r="E14" s="134">
        <f>SUM(F14:K14)</f>
        <v>0</v>
      </c>
      <c r="F14" s="135"/>
      <c r="G14" s="135"/>
      <c r="H14" s="135"/>
      <c r="I14" s="135"/>
      <c r="J14" s="135"/>
      <c r="K14" s="135"/>
      <c r="L14" s="136">
        <f>SUM(M14:V14)</f>
        <v>0</v>
      </c>
      <c r="M14" s="135"/>
      <c r="N14" s="135"/>
      <c r="O14" s="135"/>
      <c r="P14" s="135"/>
      <c r="Q14" s="135"/>
      <c r="R14" s="135"/>
      <c r="S14" s="135"/>
      <c r="T14" s="137"/>
      <c r="U14" s="135"/>
      <c r="V14" s="135"/>
      <c r="W14" s="136">
        <f>SUM(X14:AI14)</f>
        <v>0</v>
      </c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8">
        <f>příjmy!B214</f>
        <v>0</v>
      </c>
      <c r="AK14" s="139"/>
      <c r="AL14" s="136">
        <f>SUM(AM14:AO14)</f>
        <v>0</v>
      </c>
      <c r="AM14" s="135"/>
      <c r="AN14" s="135"/>
      <c r="AO14" s="140"/>
      <c r="AP14" s="139"/>
      <c r="AQ14" s="141"/>
      <c r="AR14" s="7"/>
      <c r="AS14" s="132"/>
      <c r="AT14" s="162" t="s">
        <v>263</v>
      </c>
      <c r="AU14" s="133">
        <f t="shared" si="5"/>
        <v>5735</v>
      </c>
      <c r="AV14" s="8"/>
      <c r="AW14" s="142">
        <f>SUM(AX14:BD14)</f>
        <v>0</v>
      </c>
      <c r="AX14" s="135"/>
      <c r="AY14" s="135"/>
      <c r="AZ14" s="135"/>
      <c r="BA14" s="135"/>
      <c r="BB14" s="135"/>
      <c r="BC14" s="135"/>
      <c r="BD14" s="135"/>
      <c r="BE14" s="143">
        <f>SUM(BF14:BJ14)</f>
        <v>0</v>
      </c>
      <c r="BF14" s="135"/>
      <c r="BG14" s="135"/>
      <c r="BH14" s="135">
        <f>výdaje!B136</f>
        <v>0</v>
      </c>
      <c r="BI14" s="135"/>
      <c r="BJ14" s="144"/>
      <c r="BK14" s="139"/>
      <c r="BL14" s="145">
        <f>SUM(BM14:BR14)</f>
        <v>0</v>
      </c>
      <c r="BM14" s="135"/>
      <c r="BN14" s="135"/>
      <c r="BO14" s="135"/>
      <c r="BP14" s="135"/>
      <c r="BQ14" s="135"/>
      <c r="BR14" s="135"/>
      <c r="BS14" s="143">
        <f>SUM(BT14:BZ14)</f>
        <v>0</v>
      </c>
      <c r="BT14" s="135"/>
      <c r="BU14" s="135"/>
      <c r="BV14" s="135"/>
      <c r="BW14" s="135"/>
      <c r="BX14" s="135"/>
      <c r="BY14" s="135"/>
      <c r="BZ14" s="135"/>
      <c r="CA14" s="143">
        <f>SUM(CB14:CF14)</f>
        <v>0</v>
      </c>
      <c r="CB14" s="135"/>
      <c r="CC14" s="135"/>
      <c r="CD14" s="135"/>
      <c r="CE14" s="135"/>
      <c r="CF14" s="135"/>
      <c r="CG14" s="143">
        <f>SUM(CH14:CI14)</f>
        <v>0</v>
      </c>
      <c r="CH14" s="135"/>
      <c r="CI14" s="135"/>
      <c r="CJ14" s="139">
        <f>SUM(CK14:CL14)</f>
        <v>0</v>
      </c>
      <c r="CK14" s="149"/>
      <c r="CL14" s="144"/>
      <c r="CM14" s="139"/>
      <c r="CN14" s="139"/>
      <c r="CO14" s="139">
        <f>SUM(CP14:CQ14)</f>
        <v>0</v>
      </c>
      <c r="CP14" s="146"/>
      <c r="CQ14" s="147"/>
      <c r="CR14" s="139"/>
      <c r="CS14" s="139">
        <f>výdaje!B655</f>
        <v>4670</v>
      </c>
      <c r="CT14" s="139"/>
      <c r="CU14" s="143">
        <f>CV14+CW14</f>
        <v>1065</v>
      </c>
      <c r="CV14" s="135">
        <f>výdaje!B724+výdaje!B736+výdaje!B780</f>
        <v>1065</v>
      </c>
      <c r="CW14" s="135"/>
      <c r="CX14" s="148"/>
      <c r="CY14" s="148"/>
      <c r="CZ14" s="141"/>
      <c r="DA14" s="163"/>
      <c r="DB14" s="163"/>
      <c r="DC14" s="163"/>
      <c r="DD14" s="163"/>
      <c r="DE14" s="163"/>
      <c r="DF14" s="163"/>
      <c r="DG14" s="163"/>
      <c r="DH14" s="163"/>
    </row>
    <row r="15" spans="1:104" ht="12.75" customHeight="1" thickBot="1" thickTop="1">
      <c r="A15" s="132"/>
      <c r="B15" s="164" t="s">
        <v>264</v>
      </c>
      <c r="C15" s="133">
        <f t="shared" si="3"/>
        <v>0</v>
      </c>
      <c r="D15" s="588"/>
      <c r="E15" s="134">
        <f>SUM(F15:K15)</f>
        <v>0</v>
      </c>
      <c r="F15" s="135"/>
      <c r="G15" s="135"/>
      <c r="H15" s="135"/>
      <c r="I15" s="135"/>
      <c r="J15" s="135"/>
      <c r="K15" s="135"/>
      <c r="L15" s="136">
        <f>SUM(M15:V15)</f>
        <v>0</v>
      </c>
      <c r="M15" s="135"/>
      <c r="N15" s="135"/>
      <c r="O15" s="135"/>
      <c r="P15" s="135"/>
      <c r="Q15" s="135"/>
      <c r="R15" s="135"/>
      <c r="S15" s="135"/>
      <c r="T15" s="137"/>
      <c r="U15" s="135"/>
      <c r="V15" s="135"/>
      <c r="W15" s="136">
        <f>SUM(X15:AI15)</f>
        <v>0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8"/>
      <c r="AK15" s="139"/>
      <c r="AL15" s="136">
        <f>SUM(AM15:AO15)</f>
        <v>0</v>
      </c>
      <c r="AM15" s="135"/>
      <c r="AN15" s="135"/>
      <c r="AO15" s="140"/>
      <c r="AP15" s="139"/>
      <c r="AQ15" s="141">
        <f>příjmy!B247</f>
        <v>0</v>
      </c>
      <c r="AR15" s="7"/>
      <c r="AS15" s="132"/>
      <c r="AT15" s="164" t="s">
        <v>264</v>
      </c>
      <c r="AU15" s="133">
        <f t="shared" si="5"/>
        <v>0</v>
      </c>
      <c r="AV15" s="8"/>
      <c r="AW15" s="142">
        <f>SUM(AX15:BD15)</f>
        <v>0</v>
      </c>
      <c r="AX15" s="135"/>
      <c r="AY15" s="135"/>
      <c r="AZ15" s="135"/>
      <c r="BA15" s="135"/>
      <c r="BB15" s="135"/>
      <c r="BC15" s="135"/>
      <c r="BD15" s="135"/>
      <c r="BE15" s="143">
        <f>SUM(BF15:BJ15)</f>
        <v>0</v>
      </c>
      <c r="BF15" s="135"/>
      <c r="BG15" s="135"/>
      <c r="BH15" s="135"/>
      <c r="BI15" s="135"/>
      <c r="BJ15" s="144"/>
      <c r="BK15" s="139"/>
      <c r="BL15" s="145">
        <f>SUM(BM15:BR15)</f>
        <v>0</v>
      </c>
      <c r="BM15" s="135"/>
      <c r="BN15" s="135"/>
      <c r="BO15" s="135"/>
      <c r="BP15" s="135"/>
      <c r="BQ15" s="135"/>
      <c r="BR15" s="135"/>
      <c r="BS15" s="143">
        <f>SUM(BT15:BZ15)</f>
        <v>0</v>
      </c>
      <c r="BT15" s="135"/>
      <c r="BU15" s="135"/>
      <c r="BV15" s="135"/>
      <c r="BW15" s="135"/>
      <c r="BX15" s="135"/>
      <c r="BY15" s="135"/>
      <c r="BZ15" s="135"/>
      <c r="CA15" s="143">
        <f>SUM(CB15:CF15)</f>
        <v>0</v>
      </c>
      <c r="CB15" s="135"/>
      <c r="CC15" s="135"/>
      <c r="CD15" s="135"/>
      <c r="CE15" s="135"/>
      <c r="CF15" s="135"/>
      <c r="CG15" s="143"/>
      <c r="CH15" s="135"/>
      <c r="CI15" s="135"/>
      <c r="CJ15" s="139">
        <f>SUM(CK15:CL15)</f>
        <v>0</v>
      </c>
      <c r="CK15" s="146"/>
      <c r="CL15" s="147"/>
      <c r="CM15" s="139"/>
      <c r="CN15" s="139"/>
      <c r="CO15" s="139">
        <f>SUM(CP15:CQ15)</f>
        <v>0</v>
      </c>
      <c r="CP15" s="165"/>
      <c r="CQ15" s="166"/>
      <c r="CR15" s="139"/>
      <c r="CS15" s="139">
        <f>výdaje!B656</f>
        <v>0</v>
      </c>
      <c r="CT15" s="139"/>
      <c r="CU15" s="143">
        <f>CV15+CW15</f>
        <v>0</v>
      </c>
      <c r="CV15" s="135"/>
      <c r="CW15" s="135"/>
      <c r="CX15" s="148"/>
      <c r="CY15" s="148"/>
      <c r="CZ15" s="141"/>
    </row>
    <row r="16" spans="1:104" ht="12" customHeight="1" thickBot="1" thickTop="1">
      <c r="A16" s="132"/>
      <c r="B16" s="8" t="s">
        <v>265</v>
      </c>
      <c r="C16" s="133">
        <f t="shared" si="3"/>
        <v>0</v>
      </c>
      <c r="D16" s="588"/>
      <c r="E16" s="134">
        <f>SUM(F16:K16)</f>
        <v>0</v>
      </c>
      <c r="F16" s="135"/>
      <c r="G16" s="135"/>
      <c r="H16" s="135"/>
      <c r="I16" s="135"/>
      <c r="J16" s="135"/>
      <c r="K16" s="135"/>
      <c r="L16" s="136">
        <f>SUM(M16:V16)</f>
        <v>0</v>
      </c>
      <c r="M16" s="135"/>
      <c r="N16" s="135"/>
      <c r="O16" s="135"/>
      <c r="P16" s="135"/>
      <c r="Q16" s="135"/>
      <c r="R16" s="135"/>
      <c r="S16" s="135"/>
      <c r="T16" s="137"/>
      <c r="U16" s="135"/>
      <c r="V16" s="135"/>
      <c r="W16" s="136">
        <f>SUM(X16:AI16)</f>
        <v>0</v>
      </c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8"/>
      <c r="AK16" s="139"/>
      <c r="AL16" s="136">
        <f>SUM(AM16:AO16)</f>
        <v>0</v>
      </c>
      <c r="AM16" s="135"/>
      <c r="AN16" s="135"/>
      <c r="AO16" s="140"/>
      <c r="AP16" s="139"/>
      <c r="AQ16" s="141"/>
      <c r="AR16" s="7"/>
      <c r="AS16" s="132"/>
      <c r="AT16" s="8" t="s">
        <v>265</v>
      </c>
      <c r="AU16" s="133">
        <f t="shared" si="5"/>
        <v>0</v>
      </c>
      <c r="AV16" s="8"/>
      <c r="AW16" s="142">
        <f>SUM(AX16:BD16)</f>
        <v>0</v>
      </c>
      <c r="AX16" s="135"/>
      <c r="AY16" s="135"/>
      <c r="AZ16" s="135"/>
      <c r="BA16" s="135"/>
      <c r="BB16" s="135"/>
      <c r="BC16" s="135"/>
      <c r="BD16" s="135"/>
      <c r="BE16" s="143">
        <f>SUM(BF16:BJ16)</f>
        <v>0</v>
      </c>
      <c r="BF16" s="135"/>
      <c r="BG16" s="135"/>
      <c r="BH16" s="135"/>
      <c r="BI16" s="135"/>
      <c r="BJ16" s="144"/>
      <c r="BK16" s="139"/>
      <c r="BL16" s="145">
        <f>SUM(BM16:BR16)</f>
        <v>0</v>
      </c>
      <c r="BM16" s="135"/>
      <c r="BN16" s="135"/>
      <c r="BO16" s="135"/>
      <c r="BP16" s="135"/>
      <c r="BQ16" s="135"/>
      <c r="BR16" s="135"/>
      <c r="BS16" s="143">
        <f>SUM(BT16:BZ16)</f>
        <v>0</v>
      </c>
      <c r="BT16" s="135"/>
      <c r="BU16" s="135"/>
      <c r="BV16" s="135"/>
      <c r="BW16" s="135"/>
      <c r="BX16" s="135"/>
      <c r="BY16" s="135"/>
      <c r="BZ16" s="135"/>
      <c r="CA16" s="143">
        <f>SUM(CB16:CF16)</f>
        <v>0</v>
      </c>
      <c r="CB16" s="135"/>
      <c r="CC16" s="135"/>
      <c r="CD16" s="135"/>
      <c r="CE16" s="135"/>
      <c r="CF16" s="135"/>
      <c r="CG16" s="143">
        <f>SUM(CH16:CI16)</f>
        <v>0</v>
      </c>
      <c r="CH16" s="135"/>
      <c r="CI16" s="135"/>
      <c r="CJ16" s="139">
        <f>SUM(CK16:CL16)</f>
        <v>0</v>
      </c>
      <c r="CK16" s="149"/>
      <c r="CL16" s="144"/>
      <c r="CM16" s="139"/>
      <c r="CN16" s="139"/>
      <c r="CO16" s="139">
        <f>SUM(CP16:CQ16)</f>
        <v>0</v>
      </c>
      <c r="CP16" s="149"/>
      <c r="CQ16" s="144"/>
      <c r="CR16" s="139"/>
      <c r="CS16" s="139"/>
      <c r="CT16" s="139"/>
      <c r="CU16" s="143">
        <f>CV16+CW16</f>
        <v>0</v>
      </c>
      <c r="CV16" s="135"/>
      <c r="CW16" s="135"/>
      <c r="CX16" s="148"/>
      <c r="CY16" s="148"/>
      <c r="CZ16" s="141"/>
    </row>
    <row r="17" spans="1:104" ht="12" customHeight="1" thickBot="1" thickTop="1">
      <c r="A17" s="132"/>
      <c r="B17" s="8" t="s">
        <v>266</v>
      </c>
      <c r="C17" s="133">
        <f t="shared" si="3"/>
        <v>4982</v>
      </c>
      <c r="D17" s="588"/>
      <c r="E17" s="134">
        <f>SUM(F17:K17)</f>
        <v>0</v>
      </c>
      <c r="F17" s="135"/>
      <c r="G17" s="135"/>
      <c r="H17" s="135"/>
      <c r="I17" s="135"/>
      <c r="J17" s="135"/>
      <c r="K17" s="135"/>
      <c r="L17" s="136">
        <f>SUM(M17:V17)</f>
        <v>0</v>
      </c>
      <c r="M17" s="135">
        <f>příjmy!B21</f>
        <v>0</v>
      </c>
      <c r="N17" s="135"/>
      <c r="O17" s="135"/>
      <c r="P17" s="135"/>
      <c r="Q17" s="135"/>
      <c r="R17" s="135"/>
      <c r="S17" s="135"/>
      <c r="T17" s="137"/>
      <c r="U17" s="135"/>
      <c r="V17" s="135"/>
      <c r="W17" s="136">
        <f>SUM(X17:AI17)</f>
        <v>0</v>
      </c>
      <c r="X17" s="135">
        <f>příjmy!B63</f>
        <v>0</v>
      </c>
      <c r="Y17" s="135">
        <f>příjmy!B91</f>
        <v>0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8">
        <f>příjmy!B213</f>
        <v>0</v>
      </c>
      <c r="AK17" s="139"/>
      <c r="AL17" s="136">
        <f>SUM(AM17:AO17)</f>
        <v>0</v>
      </c>
      <c r="AM17" s="135"/>
      <c r="AN17" s="135"/>
      <c r="AO17" s="140"/>
      <c r="AP17" s="139">
        <f>příjmy!B250+příjmy!B251+příjmy!B253+příjmy!B254+příjmy!B256+příjmy!B257</f>
        <v>4938</v>
      </c>
      <c r="AQ17" s="141">
        <f>příjmy!B255+příjmy!B258+příjmy!B259+příjmy!B260</f>
        <v>44</v>
      </c>
      <c r="AR17" s="7"/>
      <c r="AS17" s="132"/>
      <c r="AT17" s="8" t="s">
        <v>266</v>
      </c>
      <c r="AU17" s="133">
        <f t="shared" si="5"/>
        <v>9150</v>
      </c>
      <c r="AV17" s="8"/>
      <c r="AW17" s="142">
        <f>SUM(AX17:BD17)</f>
        <v>0</v>
      </c>
      <c r="AX17" s="135"/>
      <c r="AY17" s="135"/>
      <c r="AZ17" s="135"/>
      <c r="BA17" s="135"/>
      <c r="BB17" s="135"/>
      <c r="BC17" s="135"/>
      <c r="BD17" s="135"/>
      <c r="BE17" s="143">
        <f>SUM(BF17:BJ17)</f>
        <v>0</v>
      </c>
      <c r="BF17" s="135">
        <f>výdaje!B136</f>
        <v>0</v>
      </c>
      <c r="BG17" s="135">
        <f>výdaje!B174</f>
        <v>0</v>
      </c>
      <c r="BH17" s="135"/>
      <c r="BI17" s="135"/>
      <c r="BJ17" s="144">
        <f>výdaje!B193</f>
        <v>0</v>
      </c>
      <c r="BK17" s="139"/>
      <c r="BL17" s="145">
        <f>SUM(BM17:BR17)</f>
        <v>0</v>
      </c>
      <c r="BM17" s="135">
        <f>výdaje!B246</f>
        <v>0</v>
      </c>
      <c r="BN17" s="135"/>
      <c r="BO17" s="135">
        <f>výdaje!B278</f>
        <v>0</v>
      </c>
      <c r="BP17" s="135"/>
      <c r="BQ17" s="135"/>
      <c r="BR17" s="135"/>
      <c r="BS17" s="143">
        <f>SUM(BT17:BZ17)</f>
        <v>0</v>
      </c>
      <c r="BT17" s="135"/>
      <c r="BU17" s="135">
        <f>výdaje!B348</f>
        <v>0</v>
      </c>
      <c r="BV17" s="135"/>
      <c r="BW17" s="135"/>
      <c r="BX17" s="135"/>
      <c r="BY17" s="135">
        <f>výdaje!B398</f>
        <v>0</v>
      </c>
      <c r="BZ17" s="135">
        <f>výdaje!B415</f>
        <v>0</v>
      </c>
      <c r="CA17" s="143">
        <f>SUM(CB17:CF17)</f>
        <v>0</v>
      </c>
      <c r="CB17" s="135">
        <f>výdaje!B465</f>
        <v>0</v>
      </c>
      <c r="CC17" s="135"/>
      <c r="CD17" s="135"/>
      <c r="CE17" s="135">
        <f>výdaje!B517</f>
        <v>0</v>
      </c>
      <c r="CF17" s="135"/>
      <c r="CG17" s="143">
        <f>SUM(CH17:CI17)</f>
        <v>0</v>
      </c>
      <c r="CH17" s="135"/>
      <c r="CI17" s="135"/>
      <c r="CJ17" s="139">
        <f>SUM(CK17:CL17)</f>
        <v>0</v>
      </c>
      <c r="CK17" s="149"/>
      <c r="CL17" s="144"/>
      <c r="CM17" s="139"/>
      <c r="CN17" s="139"/>
      <c r="CO17" s="139">
        <f>SUM(CP17:CQ17)</f>
        <v>0</v>
      </c>
      <c r="CP17" s="149"/>
      <c r="CQ17" s="144"/>
      <c r="CR17" s="139"/>
      <c r="CS17" s="139">
        <f>výdaje!B658+výdaje!B659+výdaje!B661+výdaje!B662+výdaje!B660+výdaje!B663</f>
        <v>730</v>
      </c>
      <c r="CT17" s="139"/>
      <c r="CU17" s="143">
        <f>CV17+CW17</f>
        <v>8420</v>
      </c>
      <c r="CV17" s="135">
        <f>výdaje!B715+výdaje!B716</f>
        <v>8420</v>
      </c>
      <c r="CW17" s="135"/>
      <c r="CX17" s="148"/>
      <c r="CY17" s="148"/>
      <c r="CZ17" s="141"/>
    </row>
    <row r="18" spans="1:104" ht="12" customHeight="1" thickBot="1" thickTop="1">
      <c r="A18" s="150" t="s">
        <v>267</v>
      </c>
      <c r="B18" s="151"/>
      <c r="C18" s="122">
        <f t="shared" si="3"/>
        <v>270</v>
      </c>
      <c r="D18" s="587"/>
      <c r="E18" s="152">
        <f aca="true" t="shared" si="14" ref="E18:AQ18">SUM(E20:E23)</f>
        <v>0</v>
      </c>
      <c r="F18" s="153">
        <f t="shared" si="14"/>
        <v>0</v>
      </c>
      <c r="G18" s="153">
        <f t="shared" si="14"/>
        <v>0</v>
      </c>
      <c r="H18" s="153">
        <f t="shared" si="14"/>
        <v>0</v>
      </c>
      <c r="I18" s="153">
        <f t="shared" si="14"/>
        <v>0</v>
      </c>
      <c r="J18" s="153">
        <f t="shared" si="14"/>
        <v>0</v>
      </c>
      <c r="K18" s="153">
        <f t="shared" si="14"/>
        <v>0</v>
      </c>
      <c r="L18" s="154">
        <f t="shared" si="14"/>
        <v>80</v>
      </c>
      <c r="M18" s="155">
        <f t="shared" si="14"/>
        <v>80</v>
      </c>
      <c r="N18" s="155">
        <f t="shared" si="14"/>
        <v>0</v>
      </c>
      <c r="O18" s="155">
        <f t="shared" si="14"/>
        <v>0</v>
      </c>
      <c r="P18" s="155">
        <f t="shared" si="14"/>
        <v>0</v>
      </c>
      <c r="Q18" s="155">
        <f t="shared" si="14"/>
        <v>0</v>
      </c>
      <c r="R18" s="155">
        <f t="shared" si="14"/>
        <v>0</v>
      </c>
      <c r="S18" s="155">
        <f t="shared" si="14"/>
        <v>0</v>
      </c>
      <c r="T18" s="155">
        <f t="shared" si="14"/>
        <v>0</v>
      </c>
      <c r="U18" s="155">
        <f t="shared" si="14"/>
        <v>0</v>
      </c>
      <c r="V18" s="155">
        <f t="shared" si="14"/>
        <v>0</v>
      </c>
      <c r="W18" s="154">
        <f t="shared" si="14"/>
        <v>190</v>
      </c>
      <c r="X18" s="155">
        <f t="shared" si="14"/>
        <v>120</v>
      </c>
      <c r="Y18" s="155">
        <f t="shared" si="14"/>
        <v>0</v>
      </c>
      <c r="Z18" s="155">
        <f t="shared" si="14"/>
        <v>0</v>
      </c>
      <c r="AA18" s="155">
        <f t="shared" si="14"/>
        <v>0</v>
      </c>
      <c r="AB18" s="155">
        <f t="shared" si="14"/>
        <v>0</v>
      </c>
      <c r="AC18" s="155">
        <f t="shared" si="14"/>
        <v>0</v>
      </c>
      <c r="AD18" s="155">
        <f t="shared" si="14"/>
        <v>0</v>
      </c>
      <c r="AE18" s="155">
        <f t="shared" si="14"/>
        <v>0</v>
      </c>
      <c r="AF18" s="155">
        <f t="shared" si="14"/>
        <v>0</v>
      </c>
      <c r="AG18" s="155">
        <f t="shared" si="14"/>
        <v>0</v>
      </c>
      <c r="AH18" s="155">
        <f t="shared" si="14"/>
        <v>70</v>
      </c>
      <c r="AI18" s="155">
        <f t="shared" si="14"/>
        <v>0</v>
      </c>
      <c r="AJ18" s="156">
        <f t="shared" si="14"/>
        <v>0</v>
      </c>
      <c r="AK18" s="154">
        <f t="shared" si="14"/>
        <v>0</v>
      </c>
      <c r="AL18" s="154">
        <f t="shared" si="14"/>
        <v>0</v>
      </c>
      <c r="AM18" s="155">
        <f t="shared" si="14"/>
        <v>0</v>
      </c>
      <c r="AN18" s="155">
        <f t="shared" si="14"/>
        <v>0</v>
      </c>
      <c r="AO18" s="151">
        <f t="shared" si="14"/>
        <v>0</v>
      </c>
      <c r="AP18" s="154">
        <f t="shared" si="14"/>
        <v>0</v>
      </c>
      <c r="AQ18" s="157">
        <f t="shared" si="14"/>
        <v>0</v>
      </c>
      <c r="AR18" s="151"/>
      <c r="AS18" s="150" t="s">
        <v>267</v>
      </c>
      <c r="AT18" s="151"/>
      <c r="AU18" s="122">
        <f t="shared" si="5"/>
        <v>2434</v>
      </c>
      <c r="AV18" s="129"/>
      <c r="AW18" s="158">
        <f aca="true" t="shared" si="15" ref="AW18:CB18">SUM(AW20:AW23)</f>
        <v>578</v>
      </c>
      <c r="AX18" s="155">
        <f t="shared" si="15"/>
        <v>324</v>
      </c>
      <c r="AY18" s="155">
        <f t="shared" si="15"/>
        <v>125</v>
      </c>
      <c r="AZ18" s="155">
        <f t="shared" si="15"/>
        <v>0</v>
      </c>
      <c r="BA18" s="155">
        <f t="shared" si="15"/>
        <v>95</v>
      </c>
      <c r="BB18" s="155">
        <f t="shared" si="15"/>
        <v>34</v>
      </c>
      <c r="BC18" s="155">
        <f t="shared" si="15"/>
        <v>0</v>
      </c>
      <c r="BD18" s="155">
        <f t="shared" si="15"/>
        <v>0</v>
      </c>
      <c r="BE18" s="154">
        <f t="shared" si="15"/>
        <v>213</v>
      </c>
      <c r="BF18" s="155">
        <f t="shared" si="15"/>
        <v>0</v>
      </c>
      <c r="BG18" s="155">
        <f t="shared" si="15"/>
        <v>62</v>
      </c>
      <c r="BH18" s="155">
        <f t="shared" si="15"/>
        <v>13</v>
      </c>
      <c r="BI18" s="155">
        <f t="shared" si="15"/>
        <v>0</v>
      </c>
      <c r="BJ18" s="159">
        <f t="shared" si="15"/>
        <v>138</v>
      </c>
      <c r="BK18" s="154">
        <f t="shared" si="15"/>
        <v>0</v>
      </c>
      <c r="BL18" s="152">
        <f t="shared" si="15"/>
        <v>351</v>
      </c>
      <c r="BM18" s="155">
        <f t="shared" si="15"/>
        <v>28</v>
      </c>
      <c r="BN18" s="155">
        <f t="shared" si="15"/>
        <v>240</v>
      </c>
      <c r="BO18" s="155">
        <f t="shared" si="15"/>
        <v>83</v>
      </c>
      <c r="BP18" s="155">
        <f t="shared" si="15"/>
        <v>0</v>
      </c>
      <c r="BQ18" s="155">
        <f t="shared" si="15"/>
        <v>0</v>
      </c>
      <c r="BR18" s="155">
        <f t="shared" si="15"/>
        <v>0</v>
      </c>
      <c r="BS18" s="154">
        <f t="shared" si="15"/>
        <v>583</v>
      </c>
      <c r="BT18" s="155">
        <f t="shared" si="15"/>
        <v>5</v>
      </c>
      <c r="BU18" s="155">
        <f t="shared" si="15"/>
        <v>20</v>
      </c>
      <c r="BV18" s="155">
        <f t="shared" si="15"/>
        <v>0</v>
      </c>
      <c r="BW18" s="155">
        <f t="shared" si="15"/>
        <v>0</v>
      </c>
      <c r="BX18" s="155">
        <f t="shared" si="15"/>
        <v>0</v>
      </c>
      <c r="BY18" s="155">
        <f t="shared" si="15"/>
        <v>0</v>
      </c>
      <c r="BZ18" s="155">
        <f t="shared" si="15"/>
        <v>558</v>
      </c>
      <c r="CA18" s="154">
        <f t="shared" si="15"/>
        <v>53</v>
      </c>
      <c r="CB18" s="155">
        <f t="shared" si="15"/>
        <v>25</v>
      </c>
      <c r="CC18" s="155">
        <f aca="true" t="shared" si="16" ref="CC18:CZ18">SUM(CC20:CC23)</f>
        <v>0</v>
      </c>
      <c r="CD18" s="155">
        <f t="shared" si="16"/>
        <v>6</v>
      </c>
      <c r="CE18" s="155">
        <f t="shared" si="16"/>
        <v>22</v>
      </c>
      <c r="CF18" s="155">
        <f t="shared" si="16"/>
        <v>0</v>
      </c>
      <c r="CG18" s="154">
        <f t="shared" si="16"/>
        <v>0</v>
      </c>
      <c r="CH18" s="155">
        <f t="shared" si="16"/>
        <v>0</v>
      </c>
      <c r="CI18" s="155">
        <f t="shared" si="16"/>
        <v>0</v>
      </c>
      <c r="CJ18" s="154">
        <f t="shared" si="16"/>
        <v>41</v>
      </c>
      <c r="CK18" s="154">
        <f t="shared" si="16"/>
        <v>0</v>
      </c>
      <c r="CL18" s="154">
        <f t="shared" si="16"/>
        <v>41</v>
      </c>
      <c r="CM18" s="154">
        <f t="shared" si="16"/>
        <v>0</v>
      </c>
      <c r="CN18" s="154">
        <f t="shared" si="16"/>
        <v>0</v>
      </c>
      <c r="CO18" s="154">
        <f t="shared" si="16"/>
        <v>0</v>
      </c>
      <c r="CP18" s="154">
        <f t="shared" si="16"/>
        <v>0</v>
      </c>
      <c r="CQ18" s="154">
        <f t="shared" si="16"/>
        <v>0</v>
      </c>
      <c r="CR18" s="154">
        <f t="shared" si="16"/>
        <v>0</v>
      </c>
      <c r="CS18" s="154">
        <f t="shared" si="16"/>
        <v>0</v>
      </c>
      <c r="CT18" s="154">
        <f t="shared" si="16"/>
        <v>0</v>
      </c>
      <c r="CU18" s="154">
        <f t="shared" si="16"/>
        <v>615</v>
      </c>
      <c r="CV18" s="155">
        <f t="shared" si="16"/>
        <v>615</v>
      </c>
      <c r="CW18" s="155">
        <f t="shared" si="16"/>
        <v>0</v>
      </c>
      <c r="CX18" s="155">
        <f t="shared" si="16"/>
        <v>0</v>
      </c>
      <c r="CY18" s="155">
        <f t="shared" si="16"/>
        <v>0</v>
      </c>
      <c r="CZ18" s="157">
        <f t="shared" si="16"/>
        <v>0</v>
      </c>
    </row>
    <row r="19" spans="1:104" ht="13.5" customHeight="1" thickBot="1" thickTop="1">
      <c r="A19" s="497"/>
      <c r="B19" s="525" t="s">
        <v>414</v>
      </c>
      <c r="C19" s="576">
        <f>SUM(C20:C23)</f>
        <v>270</v>
      </c>
      <c r="D19" s="589"/>
      <c r="E19" s="511">
        <f aca="true" t="shared" si="17" ref="E19:AQ19">SUM(E20:E23)</f>
        <v>0</v>
      </c>
      <c r="F19" s="512">
        <f t="shared" si="17"/>
        <v>0</v>
      </c>
      <c r="G19" s="512">
        <f t="shared" si="17"/>
        <v>0</v>
      </c>
      <c r="H19" s="512">
        <f t="shared" si="17"/>
        <v>0</v>
      </c>
      <c r="I19" s="512">
        <f t="shared" si="17"/>
        <v>0</v>
      </c>
      <c r="J19" s="512">
        <f t="shared" si="17"/>
        <v>0</v>
      </c>
      <c r="K19" s="512">
        <f t="shared" si="17"/>
        <v>0</v>
      </c>
      <c r="L19" s="513">
        <f t="shared" si="17"/>
        <v>80</v>
      </c>
      <c r="M19" s="514">
        <f t="shared" si="17"/>
        <v>80</v>
      </c>
      <c r="N19" s="514">
        <f t="shared" si="17"/>
        <v>0</v>
      </c>
      <c r="O19" s="514">
        <f t="shared" si="17"/>
        <v>0</v>
      </c>
      <c r="P19" s="514">
        <f t="shared" si="17"/>
        <v>0</v>
      </c>
      <c r="Q19" s="514">
        <f t="shared" si="17"/>
        <v>0</v>
      </c>
      <c r="R19" s="514">
        <f t="shared" si="17"/>
        <v>0</v>
      </c>
      <c r="S19" s="514">
        <f t="shared" si="17"/>
        <v>0</v>
      </c>
      <c r="T19" s="514">
        <f t="shared" si="17"/>
        <v>0</v>
      </c>
      <c r="U19" s="514">
        <f t="shared" si="17"/>
        <v>0</v>
      </c>
      <c r="V19" s="514">
        <f t="shared" si="17"/>
        <v>0</v>
      </c>
      <c r="W19" s="513">
        <f t="shared" si="17"/>
        <v>190</v>
      </c>
      <c r="X19" s="514">
        <f t="shared" si="17"/>
        <v>120</v>
      </c>
      <c r="Y19" s="514">
        <f t="shared" si="17"/>
        <v>0</v>
      </c>
      <c r="Z19" s="514">
        <f t="shared" si="17"/>
        <v>0</v>
      </c>
      <c r="AA19" s="514">
        <f t="shared" si="17"/>
        <v>0</v>
      </c>
      <c r="AB19" s="514">
        <f t="shared" si="17"/>
        <v>0</v>
      </c>
      <c r="AC19" s="514">
        <f t="shared" si="17"/>
        <v>0</v>
      </c>
      <c r="AD19" s="514">
        <f t="shared" si="17"/>
        <v>0</v>
      </c>
      <c r="AE19" s="514">
        <f t="shared" si="17"/>
        <v>0</v>
      </c>
      <c r="AF19" s="514">
        <f t="shared" si="17"/>
        <v>0</v>
      </c>
      <c r="AG19" s="514">
        <f t="shared" si="17"/>
        <v>0</v>
      </c>
      <c r="AH19" s="514">
        <f t="shared" si="17"/>
        <v>70</v>
      </c>
      <c r="AI19" s="514">
        <f t="shared" si="17"/>
        <v>0</v>
      </c>
      <c r="AJ19" s="515">
        <f t="shared" si="17"/>
        <v>0</v>
      </c>
      <c r="AK19" s="513">
        <f t="shared" si="17"/>
        <v>0</v>
      </c>
      <c r="AL19" s="513">
        <f t="shared" si="17"/>
        <v>0</v>
      </c>
      <c r="AM19" s="514">
        <f t="shared" si="17"/>
        <v>0</v>
      </c>
      <c r="AN19" s="514">
        <f t="shared" si="17"/>
        <v>0</v>
      </c>
      <c r="AO19" s="516">
        <f t="shared" si="17"/>
        <v>0</v>
      </c>
      <c r="AP19" s="513">
        <f t="shared" si="17"/>
        <v>0</v>
      </c>
      <c r="AQ19" s="508">
        <f t="shared" si="17"/>
        <v>0</v>
      </c>
      <c r="AR19" s="517"/>
      <c r="AS19" s="518"/>
      <c r="AT19" s="519" t="s">
        <v>414</v>
      </c>
      <c r="AU19" s="510">
        <f>SUM(AU20:AU23)</f>
        <v>2434</v>
      </c>
      <c r="AV19" s="520"/>
      <c r="AW19" s="511">
        <f aca="true" t="shared" si="18" ref="AW19:CZ19">SUM(AW20:AW23)</f>
        <v>578</v>
      </c>
      <c r="AX19" s="521">
        <f t="shared" si="18"/>
        <v>324</v>
      </c>
      <c r="AY19" s="522">
        <f t="shared" si="18"/>
        <v>125</v>
      </c>
      <c r="AZ19" s="522">
        <f t="shared" si="18"/>
        <v>0</v>
      </c>
      <c r="BA19" s="522">
        <f t="shared" si="18"/>
        <v>95</v>
      </c>
      <c r="BB19" s="522">
        <f t="shared" si="18"/>
        <v>34</v>
      </c>
      <c r="BC19" s="522">
        <f t="shared" si="18"/>
        <v>0</v>
      </c>
      <c r="BD19" s="522">
        <f t="shared" si="18"/>
        <v>0</v>
      </c>
      <c r="BE19" s="513">
        <f t="shared" si="18"/>
        <v>213</v>
      </c>
      <c r="BF19" s="522">
        <f t="shared" si="18"/>
        <v>0</v>
      </c>
      <c r="BG19" s="522">
        <f t="shared" si="18"/>
        <v>62</v>
      </c>
      <c r="BH19" s="522">
        <f t="shared" si="18"/>
        <v>13</v>
      </c>
      <c r="BI19" s="522">
        <f t="shared" si="18"/>
        <v>0</v>
      </c>
      <c r="BJ19" s="523">
        <f t="shared" si="18"/>
        <v>138</v>
      </c>
      <c r="BK19" s="513">
        <f t="shared" si="18"/>
        <v>0</v>
      </c>
      <c r="BL19" s="524">
        <f t="shared" si="18"/>
        <v>351</v>
      </c>
      <c r="BM19" s="522">
        <f t="shared" si="18"/>
        <v>28</v>
      </c>
      <c r="BN19" s="522">
        <f t="shared" si="18"/>
        <v>240</v>
      </c>
      <c r="BO19" s="522">
        <f t="shared" si="18"/>
        <v>83</v>
      </c>
      <c r="BP19" s="522">
        <f t="shared" si="18"/>
        <v>0</v>
      </c>
      <c r="BQ19" s="522">
        <f t="shared" si="18"/>
        <v>0</v>
      </c>
      <c r="BR19" s="522">
        <f t="shared" si="18"/>
        <v>0</v>
      </c>
      <c r="BS19" s="513">
        <f t="shared" si="18"/>
        <v>583</v>
      </c>
      <c r="BT19" s="522">
        <f t="shared" si="18"/>
        <v>5</v>
      </c>
      <c r="BU19" s="522">
        <f t="shared" si="18"/>
        <v>20</v>
      </c>
      <c r="BV19" s="522">
        <f t="shared" si="18"/>
        <v>0</v>
      </c>
      <c r="BW19" s="522">
        <f t="shared" si="18"/>
        <v>0</v>
      </c>
      <c r="BX19" s="522">
        <f t="shared" si="18"/>
        <v>0</v>
      </c>
      <c r="BY19" s="522">
        <f t="shared" si="18"/>
        <v>0</v>
      </c>
      <c r="BZ19" s="522">
        <f t="shared" si="18"/>
        <v>558</v>
      </c>
      <c r="CA19" s="513">
        <f t="shared" si="18"/>
        <v>53</v>
      </c>
      <c r="CB19" s="522">
        <f t="shared" si="18"/>
        <v>25</v>
      </c>
      <c r="CC19" s="522">
        <f t="shared" si="18"/>
        <v>0</v>
      </c>
      <c r="CD19" s="522">
        <f t="shared" si="18"/>
        <v>6</v>
      </c>
      <c r="CE19" s="522">
        <f t="shared" si="18"/>
        <v>22</v>
      </c>
      <c r="CF19" s="522">
        <f t="shared" si="18"/>
        <v>0</v>
      </c>
      <c r="CG19" s="513">
        <f t="shared" si="18"/>
        <v>0</v>
      </c>
      <c r="CH19" s="522">
        <f t="shared" si="18"/>
        <v>0</v>
      </c>
      <c r="CI19" s="522">
        <f t="shared" si="18"/>
        <v>0</v>
      </c>
      <c r="CJ19" s="513">
        <f t="shared" si="18"/>
        <v>41</v>
      </c>
      <c r="CK19" s="525">
        <f t="shared" si="18"/>
        <v>0</v>
      </c>
      <c r="CL19" s="524">
        <f t="shared" si="18"/>
        <v>41</v>
      </c>
      <c r="CM19" s="513">
        <f t="shared" si="18"/>
        <v>0</v>
      </c>
      <c r="CN19" s="513">
        <f t="shared" si="18"/>
        <v>0</v>
      </c>
      <c r="CO19" s="513">
        <f t="shared" si="18"/>
        <v>0</v>
      </c>
      <c r="CP19" s="525">
        <f t="shared" si="18"/>
        <v>0</v>
      </c>
      <c r="CQ19" s="524">
        <f t="shared" si="18"/>
        <v>0</v>
      </c>
      <c r="CR19" s="513">
        <f t="shared" si="18"/>
        <v>0</v>
      </c>
      <c r="CS19" s="513">
        <f t="shared" si="18"/>
        <v>0</v>
      </c>
      <c r="CT19" s="513">
        <f t="shared" si="18"/>
        <v>0</v>
      </c>
      <c r="CU19" s="513">
        <f t="shared" si="18"/>
        <v>615</v>
      </c>
      <c r="CV19" s="522">
        <f t="shared" si="18"/>
        <v>615</v>
      </c>
      <c r="CW19" s="522">
        <f t="shared" si="18"/>
        <v>0</v>
      </c>
      <c r="CX19" s="514">
        <f t="shared" si="18"/>
        <v>0</v>
      </c>
      <c r="CY19" s="514">
        <f t="shared" si="18"/>
        <v>0</v>
      </c>
      <c r="CZ19" s="508">
        <f t="shared" si="18"/>
        <v>0</v>
      </c>
    </row>
    <row r="20" spans="1:104" ht="12.75" customHeight="1" thickBot="1" thickTop="1">
      <c r="A20" s="132"/>
      <c r="B20" s="562" t="s">
        <v>415</v>
      </c>
      <c r="C20" s="577">
        <f t="shared" si="3"/>
        <v>65</v>
      </c>
      <c r="D20" s="588"/>
      <c r="E20" s="498">
        <f>SUM(F20:K20)</f>
        <v>0</v>
      </c>
      <c r="F20" s="499"/>
      <c r="G20" s="499"/>
      <c r="H20" s="499"/>
      <c r="I20" s="499"/>
      <c r="J20" s="499"/>
      <c r="K20" s="499"/>
      <c r="L20" s="500">
        <f>SUM(M20:V20)</f>
        <v>0</v>
      </c>
      <c r="M20" s="499"/>
      <c r="N20" s="499"/>
      <c r="O20" s="499"/>
      <c r="P20" s="499"/>
      <c r="Q20" s="499"/>
      <c r="R20" s="499"/>
      <c r="S20" s="499"/>
      <c r="T20" s="501"/>
      <c r="U20" s="499"/>
      <c r="V20" s="499"/>
      <c r="W20" s="500">
        <f>SUM(X20:AI20)</f>
        <v>65</v>
      </c>
      <c r="X20" s="499">
        <f>příjmy!B64</f>
        <v>55</v>
      </c>
      <c r="Y20" s="499"/>
      <c r="Z20" s="499"/>
      <c r="AA20" s="499"/>
      <c r="AB20" s="499">
        <f>příjmy!B99</f>
        <v>0</v>
      </c>
      <c r="AC20" s="499"/>
      <c r="AD20" s="499"/>
      <c r="AE20" s="499"/>
      <c r="AF20" s="499"/>
      <c r="AG20" s="499"/>
      <c r="AH20" s="499">
        <f>příjmy!B174+příjmy!B140</f>
        <v>10</v>
      </c>
      <c r="AI20" s="499"/>
      <c r="AJ20" s="187"/>
      <c r="AK20" s="502"/>
      <c r="AL20" s="500">
        <f>SUM(AM20:AO20)</f>
        <v>0</v>
      </c>
      <c r="AM20" s="499"/>
      <c r="AN20" s="499"/>
      <c r="AO20" s="503"/>
      <c r="AP20" s="502"/>
      <c r="AQ20" s="504"/>
      <c r="AR20" s="7"/>
      <c r="AS20" s="132"/>
      <c r="AT20" s="562" t="s">
        <v>415</v>
      </c>
      <c r="AU20" s="577">
        <f t="shared" si="5"/>
        <v>1545</v>
      </c>
      <c r="AV20" s="8"/>
      <c r="AW20" s="168">
        <f>SUM(AX20:BD20)</f>
        <v>325</v>
      </c>
      <c r="AX20" s="167">
        <f>výdaje!B9</f>
        <v>187</v>
      </c>
      <c r="AY20" s="499">
        <f>výdaje!B31</f>
        <v>55</v>
      </c>
      <c r="AZ20" s="499"/>
      <c r="BA20" s="499">
        <f>výdaje!B66</f>
        <v>61</v>
      </c>
      <c r="BB20" s="499">
        <f>výdaje!B94</f>
        <v>22</v>
      </c>
      <c r="BC20" s="499"/>
      <c r="BD20" s="499"/>
      <c r="BE20" s="505">
        <f>SUM(BF20:BJ20)</f>
        <v>71</v>
      </c>
      <c r="BF20" s="499"/>
      <c r="BG20" s="499">
        <f>výdaje!B175</f>
        <v>0</v>
      </c>
      <c r="BH20" s="499">
        <f>výdaje!B147</f>
        <v>5</v>
      </c>
      <c r="BI20" s="499"/>
      <c r="BJ20" s="166">
        <f>výdaje!B194</f>
        <v>66</v>
      </c>
      <c r="BK20" s="502"/>
      <c r="BL20" s="506">
        <f>SUM(BM20:BR20)</f>
        <v>351</v>
      </c>
      <c r="BM20" s="499">
        <f>výdaje!B247</f>
        <v>28</v>
      </c>
      <c r="BN20" s="499">
        <f>výdaje!B265</f>
        <v>240</v>
      </c>
      <c r="BO20" s="499">
        <f>výdaje!B280</f>
        <v>83</v>
      </c>
      <c r="BP20" s="499"/>
      <c r="BQ20" s="499">
        <f>výdaje!B309</f>
        <v>0</v>
      </c>
      <c r="BR20" s="499"/>
      <c r="BS20" s="505">
        <f>SUM(BT20:BZ20)</f>
        <v>153</v>
      </c>
      <c r="BT20" s="499">
        <f>výdaje!B337</f>
        <v>5</v>
      </c>
      <c r="BU20" s="499">
        <f>výdaje!B349</f>
        <v>20</v>
      </c>
      <c r="BV20" s="499"/>
      <c r="BW20" s="499"/>
      <c r="BX20" s="499"/>
      <c r="BY20" s="499">
        <f>výdaje!B399</f>
        <v>0</v>
      </c>
      <c r="BZ20" s="499">
        <f>výdaje!B416</f>
        <v>128</v>
      </c>
      <c r="CA20" s="505">
        <f>SUM(CB20:CF20)</f>
        <v>30</v>
      </c>
      <c r="CB20" s="499">
        <f>výdaje!B466</f>
        <v>25</v>
      </c>
      <c r="CC20" s="499">
        <f>výdaje!B490</f>
        <v>0</v>
      </c>
      <c r="CD20" s="499">
        <f>výdaje!B499</f>
        <v>5</v>
      </c>
      <c r="CE20" s="499">
        <f>výdaje!B520</f>
        <v>0</v>
      </c>
      <c r="CF20" s="499"/>
      <c r="CG20" s="505">
        <f>SUM(CH20:CI20)</f>
        <v>0</v>
      </c>
      <c r="CH20" s="499"/>
      <c r="CI20" s="499"/>
      <c r="CJ20" s="502">
        <f>SUM(CK20:CL20)</f>
        <v>0</v>
      </c>
      <c r="CK20" s="165"/>
      <c r="CL20" s="166">
        <f>výdaje!B550</f>
        <v>0</v>
      </c>
      <c r="CM20" s="502"/>
      <c r="CN20" s="502"/>
      <c r="CO20" s="502">
        <f>SUM(CP20:CQ20)</f>
        <v>0</v>
      </c>
      <c r="CP20" s="165"/>
      <c r="CQ20" s="166"/>
      <c r="CR20" s="502"/>
      <c r="CS20" s="502"/>
      <c r="CT20" s="502"/>
      <c r="CU20" s="505">
        <f>CV20+CW20</f>
        <v>615</v>
      </c>
      <c r="CV20" s="499">
        <f>výdaje!B778+výdaje!B779</f>
        <v>615</v>
      </c>
      <c r="CW20" s="499"/>
      <c r="CX20" s="186"/>
      <c r="CY20" s="186">
        <f>výdaje!B631</f>
        <v>0</v>
      </c>
      <c r="CZ20" s="504"/>
    </row>
    <row r="21" spans="1:104" ht="12.75" customHeight="1" thickBot="1" thickTop="1">
      <c r="A21" s="132"/>
      <c r="B21" s="563" t="s">
        <v>150</v>
      </c>
      <c r="C21" s="578">
        <f t="shared" si="3"/>
        <v>0</v>
      </c>
      <c r="D21" s="588"/>
      <c r="E21" s="134">
        <f>SUM(F21:K21)</f>
        <v>0</v>
      </c>
      <c r="F21" s="135"/>
      <c r="G21" s="135"/>
      <c r="H21" s="135"/>
      <c r="I21" s="135"/>
      <c r="J21" s="135"/>
      <c r="K21" s="135"/>
      <c r="L21" s="136">
        <f>SUM(M21:V21)</f>
        <v>0</v>
      </c>
      <c r="M21" s="135"/>
      <c r="N21" s="135"/>
      <c r="O21" s="135"/>
      <c r="P21" s="135"/>
      <c r="Q21" s="135"/>
      <c r="R21" s="135"/>
      <c r="S21" s="135"/>
      <c r="T21" s="137"/>
      <c r="U21" s="135"/>
      <c r="V21" s="135"/>
      <c r="W21" s="136">
        <f>SUM(X21:AI21)</f>
        <v>0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8"/>
      <c r="AK21" s="139"/>
      <c r="AL21" s="136">
        <f>SUM(AM21:AO21)</f>
        <v>0</v>
      </c>
      <c r="AM21" s="135"/>
      <c r="AN21" s="135"/>
      <c r="AO21" s="140"/>
      <c r="AP21" s="139"/>
      <c r="AQ21" s="141"/>
      <c r="AR21" s="7"/>
      <c r="AS21" s="132"/>
      <c r="AT21" s="563" t="s">
        <v>150</v>
      </c>
      <c r="AU21" s="578">
        <f t="shared" si="5"/>
        <v>96</v>
      </c>
      <c r="AV21" s="8"/>
      <c r="AW21" s="142">
        <f>SUM(AX21:BD21)</f>
        <v>0</v>
      </c>
      <c r="AX21" s="135"/>
      <c r="AY21" s="135"/>
      <c r="AZ21" s="135"/>
      <c r="BA21" s="135"/>
      <c r="BB21" s="135"/>
      <c r="BC21" s="135"/>
      <c r="BD21" s="135"/>
      <c r="BE21" s="143">
        <f>SUM(BF21:BJ21)</f>
        <v>26</v>
      </c>
      <c r="BF21" s="135">
        <f>výdaje!B137</f>
        <v>0</v>
      </c>
      <c r="BG21" s="135">
        <f>výdaje!B176</f>
        <v>0</v>
      </c>
      <c r="BH21" s="135"/>
      <c r="BI21" s="135"/>
      <c r="BJ21" s="144">
        <f>výdaje!B195</f>
        <v>26</v>
      </c>
      <c r="BK21" s="139"/>
      <c r="BL21" s="145">
        <f>SUM(BM21:BR21)</f>
        <v>0</v>
      </c>
      <c r="BM21" s="135"/>
      <c r="BN21" s="135"/>
      <c r="BO21" s="135"/>
      <c r="BP21" s="135"/>
      <c r="BQ21" s="135"/>
      <c r="BR21" s="135"/>
      <c r="BS21" s="143">
        <f>SUM(BT21:BZ21)</f>
        <v>25</v>
      </c>
      <c r="BT21" s="135"/>
      <c r="BU21" s="135"/>
      <c r="BV21" s="135"/>
      <c r="BW21" s="135"/>
      <c r="BX21" s="135"/>
      <c r="BY21" s="135"/>
      <c r="BZ21" s="135">
        <f>výdaje!B417</f>
        <v>25</v>
      </c>
      <c r="CA21" s="143">
        <f>SUM(CB21:CF21)</f>
        <v>15</v>
      </c>
      <c r="CB21" s="135"/>
      <c r="CC21" s="135"/>
      <c r="CD21" s="135"/>
      <c r="CE21" s="135">
        <f>výdaje!B521</f>
        <v>15</v>
      </c>
      <c r="CF21" s="135"/>
      <c r="CG21" s="143">
        <f>SUM(CH21:CI21)</f>
        <v>0</v>
      </c>
      <c r="CH21" s="135"/>
      <c r="CI21" s="135"/>
      <c r="CJ21" s="139">
        <f>SUM(CK21:CL21)</f>
        <v>30</v>
      </c>
      <c r="CK21" s="149"/>
      <c r="CL21" s="144">
        <f>výdaje!B549</f>
        <v>30</v>
      </c>
      <c r="CM21" s="139"/>
      <c r="CN21" s="139"/>
      <c r="CO21" s="139">
        <f>SUM(CP21:CQ21)</f>
        <v>0</v>
      </c>
      <c r="CP21" s="149"/>
      <c r="CQ21" s="144"/>
      <c r="CR21" s="139"/>
      <c r="CS21" s="139"/>
      <c r="CT21" s="139"/>
      <c r="CU21" s="143">
        <f>CV21+CW21</f>
        <v>0</v>
      </c>
      <c r="CV21" s="135"/>
      <c r="CW21" s="135"/>
      <c r="CX21" s="148"/>
      <c r="CY21" s="148"/>
      <c r="CZ21" s="141"/>
    </row>
    <row r="22" spans="1:104" ht="12.75" customHeight="1" thickBot="1" thickTop="1">
      <c r="A22" s="132"/>
      <c r="B22" s="563" t="s">
        <v>151</v>
      </c>
      <c r="C22" s="578">
        <f t="shared" si="3"/>
        <v>5</v>
      </c>
      <c r="D22" s="588"/>
      <c r="E22" s="134">
        <f>SUM(F22:K22)</f>
        <v>0</v>
      </c>
      <c r="F22" s="135"/>
      <c r="G22" s="135"/>
      <c r="H22" s="135"/>
      <c r="I22" s="135"/>
      <c r="J22" s="135"/>
      <c r="K22" s="135"/>
      <c r="L22" s="136">
        <f>SUM(M22:V22)</f>
        <v>0</v>
      </c>
      <c r="M22" s="135"/>
      <c r="N22" s="135"/>
      <c r="O22" s="135"/>
      <c r="P22" s="135"/>
      <c r="Q22" s="135"/>
      <c r="R22" s="135"/>
      <c r="S22" s="135"/>
      <c r="T22" s="137"/>
      <c r="U22" s="135"/>
      <c r="V22" s="135"/>
      <c r="W22" s="136">
        <f>SUM(X22:AI22)</f>
        <v>5</v>
      </c>
      <c r="X22" s="135">
        <f>příjmy!B65</f>
        <v>5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>
        <f>příjmy!B141</f>
        <v>0</v>
      </c>
      <c r="AI22" s="135"/>
      <c r="AJ22" s="138"/>
      <c r="AK22" s="139"/>
      <c r="AL22" s="136">
        <f>SUM(AM22:AO22)</f>
        <v>0</v>
      </c>
      <c r="AM22" s="135"/>
      <c r="AN22" s="135"/>
      <c r="AO22" s="140"/>
      <c r="AP22" s="139"/>
      <c r="AQ22" s="141"/>
      <c r="AR22" s="7"/>
      <c r="AS22" s="132"/>
      <c r="AT22" s="563" t="s">
        <v>151</v>
      </c>
      <c r="AU22" s="578">
        <f t="shared" si="5"/>
        <v>264</v>
      </c>
      <c r="AV22" s="8"/>
      <c r="AW22" s="142">
        <f>SUM(AX22:BD22)</f>
        <v>183</v>
      </c>
      <c r="AX22" s="135">
        <f>výdaje!B10</f>
        <v>137</v>
      </c>
      <c r="AY22" s="135">
        <f>výdaje!B32</f>
        <v>0</v>
      </c>
      <c r="AZ22" s="135"/>
      <c r="BA22" s="135">
        <f>výdaje!B67</f>
        <v>34</v>
      </c>
      <c r="BB22" s="135">
        <f>výdaje!B95</f>
        <v>12</v>
      </c>
      <c r="BC22" s="135"/>
      <c r="BD22" s="135"/>
      <c r="BE22" s="143">
        <f>SUM(BF22:BJ22)</f>
        <v>75</v>
      </c>
      <c r="BF22" s="135"/>
      <c r="BG22" s="135">
        <f>výdaje!B177</f>
        <v>62</v>
      </c>
      <c r="BH22" s="135">
        <f>výdaje!B148</f>
        <v>8</v>
      </c>
      <c r="BI22" s="135"/>
      <c r="BJ22" s="144">
        <f>výdaje!B196</f>
        <v>5</v>
      </c>
      <c r="BK22" s="139"/>
      <c r="BL22" s="145">
        <f>SUM(BM22:BR22)</f>
        <v>0</v>
      </c>
      <c r="BM22" s="135"/>
      <c r="BN22" s="135"/>
      <c r="BO22" s="135"/>
      <c r="BP22" s="135"/>
      <c r="BQ22" s="135"/>
      <c r="BR22" s="135"/>
      <c r="BS22" s="143">
        <f>SUM(BT22:BZ22)</f>
        <v>5</v>
      </c>
      <c r="BT22" s="135"/>
      <c r="BU22" s="135">
        <f>výdaje!B350</f>
        <v>0</v>
      </c>
      <c r="BV22" s="135"/>
      <c r="BW22" s="135"/>
      <c r="BX22" s="135"/>
      <c r="BY22" s="135">
        <f>výdaje!B400</f>
        <v>0</v>
      </c>
      <c r="BZ22" s="135">
        <f>výdaje!B418</f>
        <v>5</v>
      </c>
      <c r="CA22" s="143">
        <f>SUM(CB22:CF22)</f>
        <v>1</v>
      </c>
      <c r="CB22" s="135">
        <f>výdaje!B467</f>
        <v>0</v>
      </c>
      <c r="CC22" s="135">
        <f>výdaje!B491</f>
        <v>0</v>
      </c>
      <c r="CD22" s="135">
        <f>výdaje!B522</f>
        <v>1</v>
      </c>
      <c r="CE22" s="135"/>
      <c r="CF22" s="135"/>
      <c r="CG22" s="143">
        <f>SUM(CH22:CI22)</f>
        <v>0</v>
      </c>
      <c r="CH22" s="135"/>
      <c r="CI22" s="135"/>
      <c r="CJ22" s="139">
        <f>SUM(CK22:CL22)</f>
        <v>0</v>
      </c>
      <c r="CK22" s="149"/>
      <c r="CL22" s="144"/>
      <c r="CM22" s="139"/>
      <c r="CN22" s="139"/>
      <c r="CO22" s="139">
        <f>SUM(CP22:CQ22)</f>
        <v>0</v>
      </c>
      <c r="CP22" s="149"/>
      <c r="CQ22" s="144"/>
      <c r="CR22" s="139"/>
      <c r="CS22" s="139"/>
      <c r="CT22" s="139"/>
      <c r="CU22" s="143">
        <f>CV22+CW22</f>
        <v>0</v>
      </c>
      <c r="CV22" s="135"/>
      <c r="CW22" s="135"/>
      <c r="CX22" s="148"/>
      <c r="CY22" s="148"/>
      <c r="CZ22" s="141"/>
    </row>
    <row r="23" spans="1:104" ht="12.75" customHeight="1" thickBot="1" thickTop="1">
      <c r="A23" s="132"/>
      <c r="B23" s="564" t="s">
        <v>152</v>
      </c>
      <c r="C23" s="579">
        <f t="shared" si="3"/>
        <v>200</v>
      </c>
      <c r="D23" s="588"/>
      <c r="E23" s="134">
        <f>SUM(F23:K23)</f>
        <v>0</v>
      </c>
      <c r="F23" s="135"/>
      <c r="G23" s="135"/>
      <c r="H23" s="135"/>
      <c r="I23" s="135"/>
      <c r="J23" s="135"/>
      <c r="K23" s="135"/>
      <c r="L23" s="136">
        <f>SUM(M23:V23)</f>
        <v>80</v>
      </c>
      <c r="M23" s="135">
        <f>příjmy!B20</f>
        <v>80</v>
      </c>
      <c r="N23" s="135"/>
      <c r="O23" s="135"/>
      <c r="P23" s="135"/>
      <c r="Q23" s="135"/>
      <c r="R23" s="135"/>
      <c r="S23" s="135">
        <f>příjmy!B50</f>
        <v>0</v>
      </c>
      <c r="T23" s="137">
        <f>příjmy!B53</f>
        <v>0</v>
      </c>
      <c r="U23" s="135"/>
      <c r="V23" s="135"/>
      <c r="W23" s="136">
        <f>SUM(X23:AI23)</f>
        <v>120</v>
      </c>
      <c r="X23" s="135">
        <f>příjmy!B66</f>
        <v>60</v>
      </c>
      <c r="Y23" s="135"/>
      <c r="Z23" s="135">
        <f>příjmy!B94</f>
        <v>0</v>
      </c>
      <c r="AA23" s="135"/>
      <c r="AB23" s="135"/>
      <c r="AC23" s="135"/>
      <c r="AD23" s="135"/>
      <c r="AE23" s="135"/>
      <c r="AF23" s="135"/>
      <c r="AG23" s="135">
        <f>příjmy!B164</f>
        <v>0</v>
      </c>
      <c r="AH23" s="135">
        <f>příjmy!B142+příjmy!B176</f>
        <v>60</v>
      </c>
      <c r="AI23" s="135"/>
      <c r="AJ23" s="138"/>
      <c r="AK23" s="139"/>
      <c r="AL23" s="136">
        <f>SUM(AM23:AO23)</f>
        <v>0</v>
      </c>
      <c r="AM23" s="135"/>
      <c r="AN23" s="135"/>
      <c r="AO23" s="140"/>
      <c r="AP23" s="139"/>
      <c r="AQ23" s="141"/>
      <c r="AR23" s="7"/>
      <c r="AS23" s="132"/>
      <c r="AT23" s="564" t="s">
        <v>152</v>
      </c>
      <c r="AU23" s="579">
        <f t="shared" si="5"/>
        <v>529</v>
      </c>
      <c r="AV23" s="8"/>
      <c r="AW23" s="142">
        <f>SUM(AX23:BD23)</f>
        <v>70</v>
      </c>
      <c r="AX23" s="135"/>
      <c r="AY23" s="135">
        <f>výdaje!B33+výdaje!B34</f>
        <v>70</v>
      </c>
      <c r="AZ23" s="135">
        <f>výdaje!B58</f>
        <v>0</v>
      </c>
      <c r="BA23" s="135">
        <f>výdaje!B68</f>
        <v>0</v>
      </c>
      <c r="BB23" s="135">
        <f>výdaje!B96</f>
        <v>0</v>
      </c>
      <c r="BC23" s="135"/>
      <c r="BD23" s="135"/>
      <c r="BE23" s="143">
        <f>SUM(BF23:BJ23)</f>
        <v>41</v>
      </c>
      <c r="BF23" s="135"/>
      <c r="BG23" s="135">
        <f>výdaje!B178</f>
        <v>0</v>
      </c>
      <c r="BH23" s="135">
        <f>výdaje!B149</f>
        <v>0</v>
      </c>
      <c r="BI23" s="135"/>
      <c r="BJ23" s="144">
        <f>výdaje!B197+výdaje!B198</f>
        <v>41</v>
      </c>
      <c r="BK23" s="139"/>
      <c r="BL23" s="145">
        <f>SUM(BM23:BR23)</f>
        <v>0</v>
      </c>
      <c r="BM23" s="135"/>
      <c r="BN23" s="135"/>
      <c r="BO23" s="135">
        <f>výdaje!B281</f>
        <v>0</v>
      </c>
      <c r="BP23" s="135"/>
      <c r="BQ23" s="135">
        <f>výdaje!B310</f>
        <v>0</v>
      </c>
      <c r="BR23" s="135"/>
      <c r="BS23" s="143">
        <f>SUM(BT23:BZ23)</f>
        <v>400</v>
      </c>
      <c r="BT23" s="135"/>
      <c r="BU23" s="135"/>
      <c r="BV23" s="135"/>
      <c r="BW23" s="135"/>
      <c r="BX23" s="135"/>
      <c r="BY23" s="135"/>
      <c r="BZ23" s="135">
        <f>výdaje!B419+výdaje!B420</f>
        <v>400</v>
      </c>
      <c r="CA23" s="143">
        <f>SUM(CB23:CF23)</f>
        <v>7</v>
      </c>
      <c r="CB23" s="135"/>
      <c r="CC23" s="135"/>
      <c r="CD23" s="135">
        <f>výdaje!B500</f>
        <v>0</v>
      </c>
      <c r="CE23" s="135">
        <f>výdaje!B523+výdaje!B525+výdaje!B524</f>
        <v>7</v>
      </c>
      <c r="CF23" s="135"/>
      <c r="CG23" s="143">
        <f>SUM(CH23:CI23)</f>
        <v>0</v>
      </c>
      <c r="CH23" s="135"/>
      <c r="CI23" s="135"/>
      <c r="CJ23" s="139">
        <f>SUM(CK23:CL23)</f>
        <v>11</v>
      </c>
      <c r="CK23" s="160"/>
      <c r="CL23" s="161">
        <f>výdaje!B551</f>
        <v>11</v>
      </c>
      <c r="CM23" s="139">
        <f>výdaje!B569</f>
        <v>0</v>
      </c>
      <c r="CN23" s="139"/>
      <c r="CO23" s="139">
        <f>SUM(CP23:CQ23)</f>
        <v>0</v>
      </c>
      <c r="CP23" s="160"/>
      <c r="CQ23" s="161"/>
      <c r="CR23" s="139"/>
      <c r="CS23" s="139"/>
      <c r="CT23" s="139"/>
      <c r="CU23" s="143">
        <f>CV23+CW23</f>
        <v>0</v>
      </c>
      <c r="CV23" s="135"/>
      <c r="CW23" s="135"/>
      <c r="CX23" s="148"/>
      <c r="CY23" s="148"/>
      <c r="CZ23" s="141"/>
    </row>
    <row r="24" spans="1:104" ht="12" customHeight="1" thickBot="1" thickTop="1">
      <c r="A24" s="150" t="s">
        <v>268</v>
      </c>
      <c r="B24" s="151"/>
      <c r="C24" s="122">
        <f t="shared" si="3"/>
        <v>5157.5</v>
      </c>
      <c r="D24" s="587"/>
      <c r="E24" s="152">
        <f aca="true" t="shared" si="19" ref="E24:AQ24">SUM(E25:E34)</f>
        <v>0</v>
      </c>
      <c r="F24" s="153">
        <f t="shared" si="19"/>
        <v>0</v>
      </c>
      <c r="G24" s="153">
        <f t="shared" si="19"/>
        <v>0</v>
      </c>
      <c r="H24" s="153">
        <f t="shared" si="19"/>
        <v>0</v>
      </c>
      <c r="I24" s="153">
        <f t="shared" si="19"/>
        <v>0</v>
      </c>
      <c r="J24" s="153">
        <f t="shared" si="19"/>
        <v>0</v>
      </c>
      <c r="K24" s="153">
        <f t="shared" si="19"/>
        <v>0</v>
      </c>
      <c r="L24" s="154">
        <f t="shared" si="19"/>
        <v>169</v>
      </c>
      <c r="M24" s="155">
        <f t="shared" si="19"/>
        <v>169</v>
      </c>
      <c r="N24" s="155">
        <f t="shared" si="19"/>
        <v>0</v>
      </c>
      <c r="O24" s="155">
        <f t="shared" si="19"/>
        <v>0</v>
      </c>
      <c r="P24" s="155">
        <f t="shared" si="19"/>
        <v>0</v>
      </c>
      <c r="Q24" s="155">
        <f t="shared" si="19"/>
        <v>0</v>
      </c>
      <c r="R24" s="155">
        <f t="shared" si="19"/>
        <v>0</v>
      </c>
      <c r="S24" s="155">
        <f t="shared" si="19"/>
        <v>0</v>
      </c>
      <c r="T24" s="155">
        <f t="shared" si="19"/>
        <v>0</v>
      </c>
      <c r="U24" s="155">
        <f t="shared" si="19"/>
        <v>0</v>
      </c>
      <c r="V24" s="155">
        <f t="shared" si="19"/>
        <v>0</v>
      </c>
      <c r="W24" s="154">
        <f t="shared" si="19"/>
        <v>2165</v>
      </c>
      <c r="X24" s="155">
        <f t="shared" si="19"/>
        <v>0</v>
      </c>
      <c r="Y24" s="155">
        <f t="shared" si="19"/>
        <v>0</v>
      </c>
      <c r="Z24" s="155">
        <f t="shared" si="19"/>
        <v>0</v>
      </c>
      <c r="AA24" s="155">
        <f t="shared" si="19"/>
        <v>135</v>
      </c>
      <c r="AB24" s="155">
        <f t="shared" si="19"/>
        <v>1372</v>
      </c>
      <c r="AC24" s="155">
        <f t="shared" si="19"/>
        <v>151</v>
      </c>
      <c r="AD24" s="155">
        <f t="shared" si="19"/>
        <v>0</v>
      </c>
      <c r="AE24" s="155">
        <f t="shared" si="19"/>
        <v>7</v>
      </c>
      <c r="AF24" s="155">
        <f t="shared" si="19"/>
        <v>0</v>
      </c>
      <c r="AG24" s="155">
        <f t="shared" si="19"/>
        <v>0</v>
      </c>
      <c r="AH24" s="155">
        <f t="shared" si="19"/>
        <v>500</v>
      </c>
      <c r="AI24" s="155">
        <f t="shared" si="19"/>
        <v>0</v>
      </c>
      <c r="AJ24" s="156">
        <f t="shared" si="19"/>
        <v>0</v>
      </c>
      <c r="AK24" s="154">
        <f t="shared" si="19"/>
        <v>0</v>
      </c>
      <c r="AL24" s="154">
        <f t="shared" si="19"/>
        <v>1400</v>
      </c>
      <c r="AM24" s="155">
        <f t="shared" si="19"/>
        <v>500</v>
      </c>
      <c r="AN24" s="155">
        <f t="shared" si="19"/>
        <v>900</v>
      </c>
      <c r="AO24" s="151">
        <f t="shared" si="19"/>
        <v>0</v>
      </c>
      <c r="AP24" s="154">
        <f t="shared" si="19"/>
        <v>18</v>
      </c>
      <c r="AQ24" s="157">
        <f t="shared" si="19"/>
        <v>1405.5</v>
      </c>
      <c r="AR24" s="151"/>
      <c r="AS24" s="150" t="s">
        <v>268</v>
      </c>
      <c r="AT24" s="151"/>
      <c r="AU24" s="122">
        <f t="shared" si="5"/>
        <v>18151.5</v>
      </c>
      <c r="AV24" s="129"/>
      <c r="AW24" s="158">
        <f aca="true" t="shared" si="20" ref="AW24:CL24">SUM(AW25:AW34)</f>
        <v>7597</v>
      </c>
      <c r="AX24" s="155">
        <f t="shared" si="20"/>
        <v>4240</v>
      </c>
      <c r="AY24" s="155">
        <f t="shared" si="20"/>
        <v>1421</v>
      </c>
      <c r="AZ24" s="155">
        <f t="shared" si="20"/>
        <v>0</v>
      </c>
      <c r="BA24" s="155">
        <f t="shared" si="20"/>
        <v>1387</v>
      </c>
      <c r="BB24" s="155">
        <f t="shared" si="20"/>
        <v>499</v>
      </c>
      <c r="BC24" s="155">
        <f t="shared" si="20"/>
        <v>50</v>
      </c>
      <c r="BD24" s="155">
        <f t="shared" si="20"/>
        <v>0</v>
      </c>
      <c r="BE24" s="154">
        <f t="shared" si="20"/>
        <v>819.5</v>
      </c>
      <c r="BF24" s="155">
        <f t="shared" si="20"/>
        <v>40</v>
      </c>
      <c r="BG24" s="155">
        <f t="shared" si="20"/>
        <v>65</v>
      </c>
      <c r="BH24" s="155">
        <f t="shared" si="20"/>
        <v>348</v>
      </c>
      <c r="BI24" s="155">
        <f t="shared" si="20"/>
        <v>0</v>
      </c>
      <c r="BJ24" s="159">
        <f t="shared" si="20"/>
        <v>366.5</v>
      </c>
      <c r="BK24" s="154">
        <f t="shared" si="20"/>
        <v>0</v>
      </c>
      <c r="BL24" s="152">
        <f t="shared" si="20"/>
        <v>922</v>
      </c>
      <c r="BM24" s="155">
        <f t="shared" si="20"/>
        <v>60</v>
      </c>
      <c r="BN24" s="155">
        <f t="shared" si="20"/>
        <v>240</v>
      </c>
      <c r="BO24" s="155">
        <f t="shared" si="20"/>
        <v>537</v>
      </c>
      <c r="BP24" s="155">
        <f t="shared" si="20"/>
        <v>0</v>
      </c>
      <c r="BQ24" s="155">
        <f t="shared" si="20"/>
        <v>85</v>
      </c>
      <c r="BR24" s="155">
        <f t="shared" si="20"/>
        <v>0</v>
      </c>
      <c r="BS24" s="154">
        <f t="shared" si="20"/>
        <v>2951</v>
      </c>
      <c r="BT24" s="155">
        <f t="shared" si="20"/>
        <v>100</v>
      </c>
      <c r="BU24" s="155">
        <f t="shared" si="20"/>
        <v>110</v>
      </c>
      <c r="BV24" s="155">
        <f t="shared" si="20"/>
        <v>690</v>
      </c>
      <c r="BW24" s="155">
        <f t="shared" si="20"/>
        <v>360</v>
      </c>
      <c r="BX24" s="155">
        <f t="shared" si="20"/>
        <v>80</v>
      </c>
      <c r="BY24" s="155">
        <f t="shared" si="20"/>
        <v>210</v>
      </c>
      <c r="BZ24" s="155">
        <f t="shared" si="20"/>
        <v>1401</v>
      </c>
      <c r="CA24" s="154">
        <f t="shared" si="20"/>
        <v>485</v>
      </c>
      <c r="CB24" s="155">
        <f t="shared" si="20"/>
        <v>290</v>
      </c>
      <c r="CC24" s="155">
        <f t="shared" si="20"/>
        <v>65</v>
      </c>
      <c r="CD24" s="155">
        <f t="shared" si="20"/>
        <v>48</v>
      </c>
      <c r="CE24" s="155">
        <f t="shared" si="20"/>
        <v>82</v>
      </c>
      <c r="CF24" s="155">
        <f t="shared" si="20"/>
        <v>0</v>
      </c>
      <c r="CG24" s="154">
        <f t="shared" si="20"/>
        <v>0</v>
      </c>
      <c r="CH24" s="155">
        <f t="shared" si="20"/>
        <v>0</v>
      </c>
      <c r="CI24" s="155">
        <f t="shared" si="20"/>
        <v>0</v>
      </c>
      <c r="CJ24" s="154">
        <f t="shared" si="20"/>
        <v>25</v>
      </c>
      <c r="CK24" s="154">
        <f t="shared" si="20"/>
        <v>0</v>
      </c>
      <c r="CL24" s="154">
        <f t="shared" si="20"/>
        <v>25</v>
      </c>
      <c r="CM24" s="154">
        <f>SUM(CM25:CM29)</f>
        <v>978</v>
      </c>
      <c r="CN24" s="154">
        <f aca="true" t="shared" si="21" ref="CN24:CZ24">SUM(CN25:CN34)</f>
        <v>160</v>
      </c>
      <c r="CO24" s="154">
        <f t="shared" si="21"/>
        <v>322</v>
      </c>
      <c r="CP24" s="154">
        <f t="shared" si="21"/>
        <v>30</v>
      </c>
      <c r="CQ24" s="154">
        <f t="shared" si="21"/>
        <v>292</v>
      </c>
      <c r="CR24" s="154">
        <f t="shared" si="21"/>
        <v>0</v>
      </c>
      <c r="CS24" s="154">
        <f t="shared" si="21"/>
        <v>0</v>
      </c>
      <c r="CT24" s="154">
        <f t="shared" si="21"/>
        <v>42</v>
      </c>
      <c r="CU24" s="154">
        <f t="shared" si="21"/>
        <v>3850</v>
      </c>
      <c r="CV24" s="155">
        <f t="shared" si="21"/>
        <v>3850</v>
      </c>
      <c r="CW24" s="155">
        <f t="shared" si="21"/>
        <v>0</v>
      </c>
      <c r="CX24" s="155">
        <f t="shared" si="21"/>
        <v>0</v>
      </c>
      <c r="CY24" s="155">
        <f t="shared" si="21"/>
        <v>0</v>
      </c>
      <c r="CZ24" s="157">
        <f t="shared" si="21"/>
        <v>0</v>
      </c>
    </row>
    <row r="25" spans="1:237" ht="12.75" customHeight="1" thickBot="1" thickTop="1">
      <c r="A25" s="132"/>
      <c r="B25" s="8" t="s">
        <v>269</v>
      </c>
      <c r="C25" s="133">
        <f t="shared" si="3"/>
        <v>180.5</v>
      </c>
      <c r="D25" s="588"/>
      <c r="E25" s="134">
        <f aca="true" t="shared" si="22" ref="E25:E34">SUM(F25:K25)</f>
        <v>0</v>
      </c>
      <c r="F25" s="135"/>
      <c r="G25" s="135"/>
      <c r="H25" s="135"/>
      <c r="I25" s="135"/>
      <c r="J25" s="135"/>
      <c r="K25" s="135"/>
      <c r="L25" s="136">
        <f aca="true" t="shared" si="23" ref="L25:L34">SUM(M25:V25)</f>
        <v>0</v>
      </c>
      <c r="M25" s="135"/>
      <c r="N25" s="135"/>
      <c r="O25" s="135"/>
      <c r="P25" s="135"/>
      <c r="Q25" s="135"/>
      <c r="R25" s="135"/>
      <c r="S25" s="135"/>
      <c r="T25" s="137"/>
      <c r="U25" s="135"/>
      <c r="V25" s="135"/>
      <c r="W25" s="136">
        <f aca="true" t="shared" si="24" ref="W25:W34">SUM(X25:AI25)</f>
        <v>0</v>
      </c>
      <c r="X25" s="135"/>
      <c r="Y25" s="135"/>
      <c r="Z25" s="135"/>
      <c r="AA25" s="135"/>
      <c r="AB25" s="135"/>
      <c r="AC25" s="135"/>
      <c r="AD25" s="135"/>
      <c r="AE25" s="135"/>
      <c r="AF25" s="135">
        <f>příjmy!B130</f>
        <v>0</v>
      </c>
      <c r="AG25" s="135"/>
      <c r="AH25" s="135">
        <f>příjmy!B177</f>
        <v>0</v>
      </c>
      <c r="AI25" s="135"/>
      <c r="AJ25" s="138">
        <f>příjmy!B215</f>
        <v>0</v>
      </c>
      <c r="AK25" s="139"/>
      <c r="AL25" s="136">
        <f aca="true" t="shared" si="25" ref="AL25:AL34">SUM(AM25:AO25)</f>
        <v>0</v>
      </c>
      <c r="AM25" s="135"/>
      <c r="AN25" s="135"/>
      <c r="AO25" s="140"/>
      <c r="AP25" s="139"/>
      <c r="AQ25" s="141">
        <f>příjmy!B263+příjmy!B264</f>
        <v>180.5</v>
      </c>
      <c r="AR25" s="7"/>
      <c r="AS25" s="132"/>
      <c r="AT25" s="8" t="s">
        <v>269</v>
      </c>
      <c r="AU25" s="133">
        <f t="shared" si="5"/>
        <v>712.5</v>
      </c>
      <c r="AV25" s="8"/>
      <c r="AW25" s="142">
        <f aca="true" t="shared" si="26" ref="AW25:AW34">SUM(AX25:BD25)</f>
        <v>262</v>
      </c>
      <c r="AX25" s="135">
        <f>výdaje!B11</f>
        <v>195</v>
      </c>
      <c r="AY25" s="135">
        <f>výdaje!B35</f>
        <v>0</v>
      </c>
      <c r="AZ25" s="135">
        <f>výdaje!B59</f>
        <v>0</v>
      </c>
      <c r="BA25" s="135">
        <f>výdaje!B69</f>
        <v>49</v>
      </c>
      <c r="BB25" s="135">
        <f>výdaje!B97</f>
        <v>18</v>
      </c>
      <c r="BC25" s="135"/>
      <c r="BD25" s="135">
        <f>výdaje!B123</f>
        <v>0</v>
      </c>
      <c r="BE25" s="143">
        <f aca="true" t="shared" si="27" ref="BE25:BE34">SUM(BF25:BJ25)</f>
        <v>218.5</v>
      </c>
      <c r="BF25" s="135">
        <f>výdaje!B132</f>
        <v>35</v>
      </c>
      <c r="BG25" s="135">
        <f>výdaje!B179</f>
        <v>0</v>
      </c>
      <c r="BH25" s="135">
        <f>výdaje!B151</f>
        <v>98</v>
      </c>
      <c r="BI25" s="135"/>
      <c r="BJ25" s="144">
        <f>výdaje!B199</f>
        <v>85.5</v>
      </c>
      <c r="BK25" s="139"/>
      <c r="BL25" s="145">
        <f aca="true" t="shared" si="28" ref="BL25:BL34">SUM(BM25:BR25)</f>
        <v>70</v>
      </c>
      <c r="BM25" s="135">
        <f>výdaje!B248</f>
        <v>0</v>
      </c>
      <c r="BN25" s="135">
        <f>výdaje!B266</f>
        <v>20</v>
      </c>
      <c r="BO25" s="135">
        <f>výdaje!B282</f>
        <v>0</v>
      </c>
      <c r="BP25" s="135"/>
      <c r="BQ25" s="135">
        <f>výdaje!B311</f>
        <v>50</v>
      </c>
      <c r="BR25" s="135"/>
      <c r="BS25" s="143">
        <f aca="true" t="shared" si="29" ref="BS25:BS34">SUM(BT25:BZ25)</f>
        <v>70</v>
      </c>
      <c r="BT25" s="135"/>
      <c r="BU25" s="135">
        <f>výdaje!B352</f>
        <v>10</v>
      </c>
      <c r="BV25" s="135"/>
      <c r="BW25" s="135"/>
      <c r="BX25" s="135">
        <f>výdaje!B386</f>
        <v>10</v>
      </c>
      <c r="BY25" s="135"/>
      <c r="BZ25" s="135">
        <f>výdaje!B421</f>
        <v>50</v>
      </c>
      <c r="CA25" s="143">
        <f aca="true" t="shared" si="30" ref="CA25:CA34">SUM(CB25:CF25)</f>
        <v>37</v>
      </c>
      <c r="CB25" s="135">
        <f>výdaje!B468</f>
        <v>30</v>
      </c>
      <c r="CC25" s="135"/>
      <c r="CD25" s="135">
        <f>výdaje!B501</f>
        <v>0</v>
      </c>
      <c r="CE25" s="135">
        <f>výdaje!B519</f>
        <v>7</v>
      </c>
      <c r="CF25" s="135"/>
      <c r="CG25" s="143">
        <f aca="true" t="shared" si="31" ref="CG25:CG34">SUM(CH25:CI25)</f>
        <v>0</v>
      </c>
      <c r="CH25" s="135"/>
      <c r="CI25" s="135"/>
      <c r="CJ25" s="139">
        <f aca="true" t="shared" si="32" ref="CJ25:CJ34">SUM(CK25:CL25)</f>
        <v>0</v>
      </c>
      <c r="CK25" s="146"/>
      <c r="CL25" s="147"/>
      <c r="CM25" s="139">
        <f>výdaje!B570</f>
        <v>55</v>
      </c>
      <c r="CN25" s="139"/>
      <c r="CO25" s="139">
        <f aca="true" t="shared" si="33" ref="CO25:CO34">SUM(CP25:CQ25)</f>
        <v>0</v>
      </c>
      <c r="CP25" s="146"/>
      <c r="CQ25" s="147">
        <f>výdaje!B597</f>
        <v>0</v>
      </c>
      <c r="CR25" s="139"/>
      <c r="CS25" s="139"/>
      <c r="CT25" s="139"/>
      <c r="CU25" s="143">
        <f aca="true" t="shared" si="34" ref="CU25:CU34">CV25+CW25</f>
        <v>0</v>
      </c>
      <c r="CV25" s="135"/>
      <c r="CW25" s="135"/>
      <c r="CX25" s="148"/>
      <c r="CY25" s="148">
        <f>výdaje!B633</f>
        <v>0</v>
      </c>
      <c r="CZ25" s="141"/>
      <c r="IC25" s="163"/>
    </row>
    <row r="26" spans="1:104" ht="12.75" customHeight="1" thickBot="1" thickTop="1">
      <c r="A26" s="132"/>
      <c r="B26" s="8" t="s">
        <v>270</v>
      </c>
      <c r="C26" s="133">
        <f t="shared" si="3"/>
        <v>0</v>
      </c>
      <c r="D26" s="588"/>
      <c r="E26" s="134">
        <f t="shared" si="22"/>
        <v>0</v>
      </c>
      <c r="F26" s="135"/>
      <c r="G26" s="135"/>
      <c r="H26" s="135"/>
      <c r="I26" s="135"/>
      <c r="J26" s="135"/>
      <c r="K26" s="135"/>
      <c r="L26" s="136">
        <f t="shared" si="23"/>
        <v>0</v>
      </c>
      <c r="M26" s="135"/>
      <c r="N26" s="135"/>
      <c r="O26" s="135"/>
      <c r="P26" s="135"/>
      <c r="Q26" s="135"/>
      <c r="R26" s="135"/>
      <c r="S26" s="135"/>
      <c r="T26" s="137"/>
      <c r="U26" s="135"/>
      <c r="V26" s="135"/>
      <c r="W26" s="136">
        <f t="shared" si="24"/>
        <v>0</v>
      </c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8"/>
      <c r="AK26" s="139"/>
      <c r="AL26" s="136">
        <f t="shared" si="25"/>
        <v>0</v>
      </c>
      <c r="AM26" s="135"/>
      <c r="AN26" s="135"/>
      <c r="AO26" s="140"/>
      <c r="AP26" s="139"/>
      <c r="AQ26" s="141"/>
      <c r="AR26" s="7"/>
      <c r="AS26" s="132"/>
      <c r="AT26" s="8" t="s">
        <v>270</v>
      </c>
      <c r="AU26" s="133">
        <f t="shared" si="5"/>
        <v>1558</v>
      </c>
      <c r="AV26" s="8"/>
      <c r="AW26" s="142">
        <f t="shared" si="26"/>
        <v>1558</v>
      </c>
      <c r="AX26" s="135"/>
      <c r="AY26" s="135">
        <f>výdaje!B36+výdaje!B63</f>
        <v>1164</v>
      </c>
      <c r="AZ26" s="135">
        <f>výdaje!B61</f>
        <v>0</v>
      </c>
      <c r="BA26" s="135">
        <f>výdaje!B70</f>
        <v>290</v>
      </c>
      <c r="BB26" s="135">
        <f>výdaje!B98</f>
        <v>104</v>
      </c>
      <c r="BC26" s="135"/>
      <c r="BD26" s="135"/>
      <c r="BE26" s="143">
        <f t="shared" si="27"/>
        <v>0</v>
      </c>
      <c r="BF26" s="135"/>
      <c r="BG26" s="135"/>
      <c r="BH26" s="135"/>
      <c r="BI26" s="135"/>
      <c r="BJ26" s="144"/>
      <c r="BK26" s="139"/>
      <c r="BL26" s="145">
        <f t="shared" si="28"/>
        <v>0</v>
      </c>
      <c r="BM26" s="135"/>
      <c r="BN26" s="135"/>
      <c r="BO26" s="135"/>
      <c r="BP26" s="135"/>
      <c r="BQ26" s="135"/>
      <c r="BR26" s="135"/>
      <c r="BS26" s="143">
        <f t="shared" si="29"/>
        <v>0</v>
      </c>
      <c r="BT26" s="135"/>
      <c r="BU26" s="135"/>
      <c r="BV26" s="135"/>
      <c r="BW26" s="135"/>
      <c r="BX26" s="135"/>
      <c r="BY26" s="135"/>
      <c r="BZ26" s="135"/>
      <c r="CA26" s="143">
        <f t="shared" si="30"/>
        <v>0</v>
      </c>
      <c r="CB26" s="135"/>
      <c r="CC26" s="135"/>
      <c r="CD26" s="135"/>
      <c r="CE26" s="135"/>
      <c r="CF26" s="135"/>
      <c r="CG26" s="143">
        <f t="shared" si="31"/>
        <v>0</v>
      </c>
      <c r="CH26" s="135"/>
      <c r="CI26" s="135"/>
      <c r="CJ26" s="139">
        <f t="shared" si="32"/>
        <v>0</v>
      </c>
      <c r="CK26" s="149"/>
      <c r="CL26" s="144"/>
      <c r="CM26" s="139"/>
      <c r="CN26" s="139"/>
      <c r="CO26" s="139">
        <f t="shared" si="33"/>
        <v>0</v>
      </c>
      <c r="CP26" s="149"/>
      <c r="CQ26" s="144"/>
      <c r="CR26" s="139"/>
      <c r="CS26" s="139"/>
      <c r="CT26" s="139"/>
      <c r="CU26" s="143">
        <f t="shared" si="34"/>
        <v>0</v>
      </c>
      <c r="CV26" s="135"/>
      <c r="CW26" s="135"/>
      <c r="CX26" s="148"/>
      <c r="CY26" s="148"/>
      <c r="CZ26" s="141"/>
    </row>
    <row r="27" spans="1:104" ht="12.75" customHeight="1" thickBot="1" thickTop="1">
      <c r="A27" s="132"/>
      <c r="B27" s="8" t="s">
        <v>314</v>
      </c>
      <c r="C27" s="133">
        <f t="shared" si="3"/>
        <v>1463</v>
      </c>
      <c r="D27" s="588"/>
      <c r="E27" s="134">
        <f t="shared" si="22"/>
        <v>0</v>
      </c>
      <c r="F27" s="135"/>
      <c r="G27" s="135"/>
      <c r="H27" s="135"/>
      <c r="I27" s="135"/>
      <c r="J27" s="135"/>
      <c r="K27" s="135"/>
      <c r="L27" s="136">
        <f t="shared" si="23"/>
        <v>50</v>
      </c>
      <c r="M27" s="135">
        <f>příjmy!B24</f>
        <v>50</v>
      </c>
      <c r="N27" s="135"/>
      <c r="O27" s="135"/>
      <c r="P27" s="135"/>
      <c r="Q27" s="135"/>
      <c r="R27" s="135"/>
      <c r="S27" s="135">
        <f>příjmy!B51</f>
        <v>0</v>
      </c>
      <c r="T27" s="137"/>
      <c r="U27" s="135"/>
      <c r="V27" s="135"/>
      <c r="W27" s="136">
        <f t="shared" si="24"/>
        <v>188</v>
      </c>
      <c r="X27" s="135">
        <f>příjmy!B68</f>
        <v>0</v>
      </c>
      <c r="Y27" s="135"/>
      <c r="Z27" s="135"/>
      <c r="AA27" s="135"/>
      <c r="AB27" s="135"/>
      <c r="AC27" s="135">
        <f>příjmy!B113+příjmy!B114</f>
        <v>151</v>
      </c>
      <c r="AD27" s="135"/>
      <c r="AE27" s="135">
        <f>příjmy!B119</f>
        <v>7</v>
      </c>
      <c r="AF27" s="135">
        <f>příjmy!B131</f>
        <v>0</v>
      </c>
      <c r="AG27" s="135">
        <f>příjmy!B165</f>
        <v>0</v>
      </c>
      <c r="AH27" s="135">
        <f>příjmy!B179+příjmy!B143</f>
        <v>30</v>
      </c>
      <c r="AI27" s="135"/>
      <c r="AJ27" s="138"/>
      <c r="AK27" s="139"/>
      <c r="AL27" s="136">
        <f t="shared" si="25"/>
        <v>0</v>
      </c>
      <c r="AM27" s="135"/>
      <c r="AN27" s="135"/>
      <c r="AO27" s="140">
        <f>příjmy!B237</f>
        <v>0</v>
      </c>
      <c r="AP27" s="139">
        <f>příjmy!B267+příjmy!B271+příjmy!B272</f>
        <v>0</v>
      </c>
      <c r="AQ27" s="141">
        <f>příjmy!B265+příjmy!B268+příjmy!B269+příjmy!B266+příjmy!B270</f>
        <v>1225</v>
      </c>
      <c r="AR27" s="7"/>
      <c r="AS27" s="132"/>
      <c r="AT27" s="8" t="s">
        <v>314</v>
      </c>
      <c r="AU27" s="133">
        <f t="shared" si="5"/>
        <v>8310</v>
      </c>
      <c r="AV27" s="8"/>
      <c r="AW27" s="142">
        <f t="shared" si="26"/>
        <v>5713</v>
      </c>
      <c r="AX27" s="135">
        <f>výdaje!B12</f>
        <v>4045</v>
      </c>
      <c r="AY27" s="135">
        <f>výdaje!B37</f>
        <v>209</v>
      </c>
      <c r="AZ27" s="135"/>
      <c r="BA27" s="135">
        <f>výdaje!B71</f>
        <v>1036</v>
      </c>
      <c r="BB27" s="135">
        <f>výdaje!B99</f>
        <v>373</v>
      </c>
      <c r="BC27" s="135">
        <f>výdaje!B121</f>
        <v>50</v>
      </c>
      <c r="BD27" s="135"/>
      <c r="BE27" s="143">
        <f t="shared" si="27"/>
        <v>441</v>
      </c>
      <c r="BF27" s="135">
        <f>výdaje!B145+výdaje!B138</f>
        <v>5</v>
      </c>
      <c r="BG27" s="135">
        <f>výdaje!B180</f>
        <v>25</v>
      </c>
      <c r="BH27" s="135">
        <f>výdaje!B152+výdaje!B153</f>
        <v>250</v>
      </c>
      <c r="BI27" s="135"/>
      <c r="BJ27" s="144">
        <f>výdaje!B200</f>
        <v>161</v>
      </c>
      <c r="BK27" s="139">
        <f>výdaje!B240</f>
        <v>0</v>
      </c>
      <c r="BL27" s="145">
        <f t="shared" si="28"/>
        <v>35</v>
      </c>
      <c r="BM27" s="135"/>
      <c r="BN27" s="135"/>
      <c r="BO27" s="135"/>
      <c r="BP27" s="135"/>
      <c r="BQ27" s="135">
        <f>výdaje!B312</f>
        <v>35</v>
      </c>
      <c r="BR27" s="135"/>
      <c r="BS27" s="143">
        <f t="shared" si="29"/>
        <v>1761</v>
      </c>
      <c r="BT27" s="135">
        <f>výdaje!B338</f>
        <v>100</v>
      </c>
      <c r="BU27" s="135">
        <f>výdaje!B353</f>
        <v>100</v>
      </c>
      <c r="BV27" s="135">
        <f>výdaje!B372</f>
        <v>90</v>
      </c>
      <c r="BW27" s="135">
        <f>výdaje!B381</f>
        <v>310</v>
      </c>
      <c r="BX27" s="135">
        <f>výdaje!B387</f>
        <v>70</v>
      </c>
      <c r="BY27" s="135">
        <f>výdaje!B397</f>
        <v>210</v>
      </c>
      <c r="BZ27" s="135">
        <f>výdaje!B422</f>
        <v>881</v>
      </c>
      <c r="CA27" s="143">
        <f t="shared" si="30"/>
        <v>173</v>
      </c>
      <c r="CB27" s="135"/>
      <c r="CC27" s="135">
        <f>výdaje!B492</f>
        <v>50</v>
      </c>
      <c r="CD27" s="135">
        <f>výdaje!B502</f>
        <v>48</v>
      </c>
      <c r="CE27" s="135">
        <f>výdaje!B518</f>
        <v>75</v>
      </c>
      <c r="CF27" s="135">
        <f>výdaje!B538</f>
        <v>0</v>
      </c>
      <c r="CG27" s="143">
        <f t="shared" si="31"/>
        <v>0</v>
      </c>
      <c r="CH27" s="135"/>
      <c r="CI27" s="135">
        <f>výdaje!B587</f>
        <v>0</v>
      </c>
      <c r="CJ27" s="139">
        <f t="shared" si="32"/>
        <v>25</v>
      </c>
      <c r="CK27" s="149">
        <f>výdaje!B546</f>
        <v>0</v>
      </c>
      <c r="CL27" s="144">
        <f>výdaje!B553</f>
        <v>25</v>
      </c>
      <c r="CM27" s="139">
        <f>výdaje!B571</f>
        <v>100</v>
      </c>
      <c r="CN27" s="139">
        <f>výdaje!B702</f>
        <v>0</v>
      </c>
      <c r="CO27" s="139">
        <f t="shared" si="33"/>
        <v>62</v>
      </c>
      <c r="CP27" s="149">
        <f>výdaje!B616</f>
        <v>30</v>
      </c>
      <c r="CQ27" s="144">
        <f>výdaje!B598+výdaje!B612+výdaje!B613</f>
        <v>32</v>
      </c>
      <c r="CR27" s="139">
        <f>výdaje!B690</f>
        <v>0</v>
      </c>
      <c r="CS27" s="139"/>
      <c r="CT27" s="139">
        <f>výdaje!B679+výdaje!B705</f>
        <v>0</v>
      </c>
      <c r="CU27" s="143">
        <f t="shared" si="34"/>
        <v>0</v>
      </c>
      <c r="CV27" s="135"/>
      <c r="CW27" s="135"/>
      <c r="CX27" s="148"/>
      <c r="CY27" s="148">
        <f>výdaje!B634</f>
        <v>0</v>
      </c>
      <c r="CZ27" s="141"/>
    </row>
    <row r="28" spans="1:104" ht="12.75" customHeight="1" thickBot="1" thickTop="1">
      <c r="A28" s="132"/>
      <c r="B28" s="8" t="s">
        <v>290</v>
      </c>
      <c r="C28" s="133">
        <f t="shared" si="3"/>
        <v>18</v>
      </c>
      <c r="D28" s="588"/>
      <c r="E28" s="134">
        <f t="shared" si="22"/>
        <v>0</v>
      </c>
      <c r="F28" s="135"/>
      <c r="G28" s="135"/>
      <c r="H28" s="135"/>
      <c r="I28" s="135"/>
      <c r="J28" s="135"/>
      <c r="K28" s="135"/>
      <c r="L28" s="136">
        <f t="shared" si="23"/>
        <v>0</v>
      </c>
      <c r="M28" s="135"/>
      <c r="N28" s="135"/>
      <c r="O28" s="135"/>
      <c r="P28" s="135"/>
      <c r="Q28" s="135"/>
      <c r="R28" s="135"/>
      <c r="S28" s="135"/>
      <c r="T28" s="137"/>
      <c r="U28" s="135"/>
      <c r="V28" s="135"/>
      <c r="W28" s="136">
        <f t="shared" si="24"/>
        <v>18</v>
      </c>
      <c r="X28" s="135">
        <f>příjmy!B69</f>
        <v>0</v>
      </c>
      <c r="Y28" s="135"/>
      <c r="Z28" s="135"/>
      <c r="AA28" s="135"/>
      <c r="AB28" s="135"/>
      <c r="AC28" s="135"/>
      <c r="AD28" s="135"/>
      <c r="AE28" s="135">
        <f>příjmy!B120</f>
        <v>0</v>
      </c>
      <c r="AF28" s="135">
        <f>příjmy!B132</f>
        <v>0</v>
      </c>
      <c r="AG28" s="135">
        <f>příjmy!B135+příjmy!B166</f>
        <v>0</v>
      </c>
      <c r="AH28" s="135">
        <f>příjmy!B180</f>
        <v>18</v>
      </c>
      <c r="AI28" s="135">
        <f>příjmy!B144</f>
        <v>0</v>
      </c>
      <c r="AJ28" s="138"/>
      <c r="AK28" s="139"/>
      <c r="AL28" s="136">
        <f t="shared" si="25"/>
        <v>0</v>
      </c>
      <c r="AM28" s="135"/>
      <c r="AN28" s="135"/>
      <c r="AO28" s="140">
        <f>příjmy!B235</f>
        <v>0</v>
      </c>
      <c r="AP28" s="139"/>
      <c r="AQ28" s="141"/>
      <c r="AR28" s="7"/>
      <c r="AS28" s="132"/>
      <c r="AT28" s="8" t="s">
        <v>290</v>
      </c>
      <c r="AU28" s="133">
        <f t="shared" si="5"/>
        <v>780</v>
      </c>
      <c r="AV28" s="8"/>
      <c r="AW28" s="168">
        <f t="shared" si="26"/>
        <v>0</v>
      </c>
      <c r="AX28" s="135"/>
      <c r="AY28" s="135">
        <f>výdaje!B38</f>
        <v>0</v>
      </c>
      <c r="AZ28" s="135"/>
      <c r="BA28" s="135">
        <f>výdaje!B72</f>
        <v>0</v>
      </c>
      <c r="BB28" s="135">
        <f>výdaje!B100</f>
        <v>0</v>
      </c>
      <c r="BC28" s="135"/>
      <c r="BD28" s="135"/>
      <c r="BE28" s="143">
        <f t="shared" si="27"/>
        <v>0</v>
      </c>
      <c r="BF28" s="135"/>
      <c r="BG28" s="135"/>
      <c r="BH28" s="135"/>
      <c r="BI28" s="135"/>
      <c r="BJ28" s="144">
        <f>výdaje!B201</f>
        <v>0</v>
      </c>
      <c r="BK28" s="139"/>
      <c r="BL28" s="145">
        <f t="shared" si="28"/>
        <v>0</v>
      </c>
      <c r="BM28" s="135"/>
      <c r="BN28" s="135"/>
      <c r="BO28" s="135"/>
      <c r="BP28" s="135"/>
      <c r="BQ28" s="135"/>
      <c r="BR28" s="135"/>
      <c r="BS28" s="143">
        <f t="shared" si="29"/>
        <v>620</v>
      </c>
      <c r="BT28" s="135"/>
      <c r="BU28" s="135"/>
      <c r="BV28" s="135">
        <f>výdaje!B373</f>
        <v>600</v>
      </c>
      <c r="BW28" s="135">
        <f>výdaje!B382</f>
        <v>0</v>
      </c>
      <c r="BX28" s="135"/>
      <c r="BY28" s="135"/>
      <c r="BZ28" s="135">
        <f>výdaje!B423</f>
        <v>20</v>
      </c>
      <c r="CA28" s="143">
        <f t="shared" si="30"/>
        <v>0</v>
      </c>
      <c r="CB28" s="135">
        <f>výdaje!B474</f>
        <v>0</v>
      </c>
      <c r="CC28" s="135"/>
      <c r="CD28" s="135">
        <f>výdaje!B503</f>
        <v>0</v>
      </c>
      <c r="CE28" s="135">
        <f>výdaje!B526</f>
        <v>0</v>
      </c>
      <c r="CF28" s="135"/>
      <c r="CG28" s="143">
        <f t="shared" si="31"/>
        <v>0</v>
      </c>
      <c r="CH28" s="135"/>
      <c r="CI28" s="135"/>
      <c r="CJ28" s="139">
        <f t="shared" si="32"/>
        <v>0</v>
      </c>
      <c r="CK28" s="149"/>
      <c r="CL28" s="144"/>
      <c r="CM28" s="139">
        <f>výdaje!B572</f>
        <v>0</v>
      </c>
      <c r="CN28" s="139">
        <f>výdaje!B578+výdaje!B703</f>
        <v>160</v>
      </c>
      <c r="CO28" s="139">
        <f t="shared" si="33"/>
        <v>0</v>
      </c>
      <c r="CP28" s="149"/>
      <c r="CQ28" s="144">
        <f>výdaje!B608</f>
        <v>0</v>
      </c>
      <c r="CR28" s="139"/>
      <c r="CS28" s="139">
        <f>výdaje!B691</f>
        <v>0</v>
      </c>
      <c r="CT28" s="139">
        <f>výdaje!B686</f>
        <v>0</v>
      </c>
      <c r="CU28" s="143">
        <f t="shared" si="34"/>
        <v>0</v>
      </c>
      <c r="CV28" s="135"/>
      <c r="CW28" s="135"/>
      <c r="CX28" s="148"/>
      <c r="CY28" s="148"/>
      <c r="CZ28" s="141"/>
    </row>
    <row r="29" spans="1:104" ht="12.75" customHeight="1" thickBot="1" thickTop="1">
      <c r="A29" s="132"/>
      <c r="B29" s="8" t="s">
        <v>292</v>
      </c>
      <c r="C29" s="133">
        <f t="shared" si="3"/>
        <v>25</v>
      </c>
      <c r="D29" s="588"/>
      <c r="E29" s="134">
        <f t="shared" si="22"/>
        <v>0</v>
      </c>
      <c r="F29" s="135"/>
      <c r="G29" s="135"/>
      <c r="H29" s="135"/>
      <c r="I29" s="135"/>
      <c r="J29" s="135"/>
      <c r="K29" s="135"/>
      <c r="L29" s="136">
        <f t="shared" si="23"/>
        <v>0</v>
      </c>
      <c r="M29" s="135"/>
      <c r="N29" s="135"/>
      <c r="O29" s="135"/>
      <c r="P29" s="135"/>
      <c r="Q29" s="135"/>
      <c r="R29" s="135"/>
      <c r="S29" s="135"/>
      <c r="T29" s="137"/>
      <c r="U29" s="135"/>
      <c r="V29" s="135"/>
      <c r="W29" s="136">
        <f t="shared" si="24"/>
        <v>25</v>
      </c>
      <c r="X29" s="135">
        <f>příjmy!B70</f>
        <v>0</v>
      </c>
      <c r="Y29" s="135"/>
      <c r="Z29" s="135">
        <f>příjmy!B93</f>
        <v>0</v>
      </c>
      <c r="AA29" s="135"/>
      <c r="AB29" s="135">
        <f>příjmy!B100</f>
        <v>0</v>
      </c>
      <c r="AC29" s="135"/>
      <c r="AD29" s="135"/>
      <c r="AE29" s="135"/>
      <c r="AF29" s="135"/>
      <c r="AG29" s="135">
        <f>příjmy!B167</f>
        <v>0</v>
      </c>
      <c r="AH29" s="135">
        <f>příjmy!B178+příjmy!B145</f>
        <v>25</v>
      </c>
      <c r="AI29" s="135"/>
      <c r="AJ29" s="138"/>
      <c r="AK29" s="139"/>
      <c r="AL29" s="136">
        <f t="shared" si="25"/>
        <v>0</v>
      </c>
      <c r="AM29" s="135"/>
      <c r="AN29" s="135"/>
      <c r="AO29" s="140"/>
      <c r="AP29" s="139"/>
      <c r="AQ29" s="141"/>
      <c r="AR29" s="7"/>
      <c r="AS29" s="132"/>
      <c r="AT29" s="8" t="s">
        <v>292</v>
      </c>
      <c r="AU29" s="133">
        <f t="shared" si="5"/>
        <v>1209</v>
      </c>
      <c r="AV29" s="8"/>
      <c r="AW29" s="142">
        <f t="shared" si="26"/>
        <v>64</v>
      </c>
      <c r="AX29" s="135">
        <f>výdaje!B13</f>
        <v>0</v>
      </c>
      <c r="AY29" s="135">
        <f>výdaje!B39</f>
        <v>48</v>
      </c>
      <c r="AZ29" s="135">
        <f>výdaje!B62</f>
        <v>0</v>
      </c>
      <c r="BA29" s="135">
        <f>výdaje!B73</f>
        <v>12</v>
      </c>
      <c r="BB29" s="135">
        <f>výdaje!B101</f>
        <v>4</v>
      </c>
      <c r="BC29" s="135"/>
      <c r="BD29" s="135">
        <f>výdaje!B124</f>
        <v>0</v>
      </c>
      <c r="BE29" s="143">
        <f t="shared" si="27"/>
        <v>110</v>
      </c>
      <c r="BF29" s="135"/>
      <c r="BG29" s="135">
        <f>výdaje!B181</f>
        <v>40</v>
      </c>
      <c r="BH29" s="135">
        <f>výdaje!B155</f>
        <v>0</v>
      </c>
      <c r="BI29" s="135">
        <f>výdaje!B173</f>
        <v>0</v>
      </c>
      <c r="BJ29" s="144">
        <f>výdaje!B202</f>
        <v>70</v>
      </c>
      <c r="BK29" s="139"/>
      <c r="BL29" s="145">
        <f t="shared" si="28"/>
        <v>0</v>
      </c>
      <c r="BM29" s="135">
        <f>výdaje!B249</f>
        <v>0</v>
      </c>
      <c r="BN29" s="135"/>
      <c r="BO29" s="135">
        <f>výdaje!B283</f>
        <v>0</v>
      </c>
      <c r="BP29" s="135"/>
      <c r="BQ29" s="135"/>
      <c r="BR29" s="135"/>
      <c r="BS29" s="143">
        <f t="shared" si="29"/>
        <v>170</v>
      </c>
      <c r="BT29" s="135">
        <f>výdaje!B339</f>
        <v>0</v>
      </c>
      <c r="BU29" s="135">
        <f>výdaje!B354</f>
        <v>0</v>
      </c>
      <c r="BV29" s="135"/>
      <c r="BW29" s="135"/>
      <c r="BX29" s="135">
        <f>výdaje!B388</f>
        <v>0</v>
      </c>
      <c r="BY29" s="135">
        <f>výdaje!B402</f>
        <v>0</v>
      </c>
      <c r="BZ29" s="135">
        <f>výdaje!B424</f>
        <v>170</v>
      </c>
      <c r="CA29" s="143">
        <f t="shared" si="30"/>
        <v>0</v>
      </c>
      <c r="CB29" s="135">
        <f>výdaje!B470</f>
        <v>0</v>
      </c>
      <c r="CC29" s="135">
        <f>výdaje!B493</f>
        <v>0</v>
      </c>
      <c r="CD29" s="135">
        <f>výdaje!B504</f>
        <v>0</v>
      </c>
      <c r="CE29" s="135">
        <f>výdaje!B527</f>
        <v>0</v>
      </c>
      <c r="CF29" s="135"/>
      <c r="CG29" s="143">
        <f t="shared" si="31"/>
        <v>0</v>
      </c>
      <c r="CH29" s="135"/>
      <c r="CI29" s="135"/>
      <c r="CJ29" s="139">
        <f t="shared" si="32"/>
        <v>0</v>
      </c>
      <c r="CK29" s="149"/>
      <c r="CL29" s="144">
        <f>výdaje!B555</f>
        <v>0</v>
      </c>
      <c r="CM29" s="139">
        <f>výdaje!B573+výdaje!B579+výdaje!B775</f>
        <v>823</v>
      </c>
      <c r="CN29" s="139"/>
      <c r="CO29" s="139">
        <f t="shared" si="33"/>
        <v>0</v>
      </c>
      <c r="CP29" s="149"/>
      <c r="CQ29" s="144"/>
      <c r="CR29" s="139"/>
      <c r="CS29" s="139"/>
      <c r="CT29" s="139">
        <f>výdaje!B680+výdaje!B682</f>
        <v>42</v>
      </c>
      <c r="CU29" s="143">
        <f t="shared" si="34"/>
        <v>0</v>
      </c>
      <c r="CV29" s="135">
        <f>výdaje!B738+výdaje!B739</f>
        <v>0</v>
      </c>
      <c r="CW29" s="135"/>
      <c r="CX29" s="148"/>
      <c r="CY29" s="148"/>
      <c r="CZ29" s="141"/>
    </row>
    <row r="30" spans="1:104" ht="12.75" customHeight="1" thickBot="1" thickTop="1">
      <c r="A30" s="132"/>
      <c r="B30" s="8" t="s">
        <v>315</v>
      </c>
      <c r="C30" s="133">
        <f t="shared" si="3"/>
        <v>221</v>
      </c>
      <c r="D30" s="588"/>
      <c r="E30" s="134">
        <f t="shared" si="22"/>
        <v>0</v>
      </c>
      <c r="F30" s="135"/>
      <c r="G30" s="135"/>
      <c r="H30" s="135"/>
      <c r="I30" s="135"/>
      <c r="J30" s="135"/>
      <c r="K30" s="135"/>
      <c r="L30" s="136">
        <f t="shared" si="23"/>
        <v>0</v>
      </c>
      <c r="M30" s="135"/>
      <c r="N30" s="135"/>
      <c r="O30" s="135"/>
      <c r="P30" s="135"/>
      <c r="Q30" s="135"/>
      <c r="R30" s="135"/>
      <c r="S30" s="135"/>
      <c r="T30" s="137"/>
      <c r="U30" s="135"/>
      <c r="V30" s="135"/>
      <c r="W30" s="136">
        <f t="shared" si="24"/>
        <v>221</v>
      </c>
      <c r="X30" s="135">
        <f>příjmy!B71</f>
        <v>0</v>
      </c>
      <c r="Y30" s="135"/>
      <c r="Z30" s="135"/>
      <c r="AA30" s="135"/>
      <c r="AB30" s="135">
        <f>příjmy!B101</f>
        <v>183</v>
      </c>
      <c r="AC30" s="135"/>
      <c r="AD30" s="135"/>
      <c r="AE30" s="135"/>
      <c r="AF30" s="135"/>
      <c r="AG30" s="135"/>
      <c r="AH30" s="135">
        <f>příjmy!B146</f>
        <v>38</v>
      </c>
      <c r="AI30" s="135"/>
      <c r="AJ30" s="138"/>
      <c r="AK30" s="139"/>
      <c r="AL30" s="136">
        <f t="shared" si="25"/>
        <v>0</v>
      </c>
      <c r="AM30" s="135"/>
      <c r="AN30" s="135"/>
      <c r="AO30" s="140"/>
      <c r="AP30" s="139"/>
      <c r="AQ30" s="141"/>
      <c r="AR30" s="7"/>
      <c r="AS30" s="132"/>
      <c r="AT30" s="8" t="s">
        <v>315</v>
      </c>
      <c r="AU30" s="133">
        <f t="shared" si="5"/>
        <v>1200</v>
      </c>
      <c r="AV30" s="8"/>
      <c r="AW30" s="142">
        <f t="shared" si="26"/>
        <v>0</v>
      </c>
      <c r="AX30" s="135"/>
      <c r="AY30" s="135"/>
      <c r="AZ30" s="135"/>
      <c r="BA30" s="135"/>
      <c r="BB30" s="135"/>
      <c r="BC30" s="135"/>
      <c r="BD30" s="135"/>
      <c r="BE30" s="143">
        <f t="shared" si="27"/>
        <v>25</v>
      </c>
      <c r="BF30" s="135"/>
      <c r="BG30" s="135"/>
      <c r="BH30" s="135"/>
      <c r="BI30" s="135"/>
      <c r="BJ30" s="144">
        <f>výdaje!B203</f>
        <v>25</v>
      </c>
      <c r="BK30" s="139"/>
      <c r="BL30" s="145">
        <f t="shared" si="28"/>
        <v>375</v>
      </c>
      <c r="BM30" s="135">
        <f>výdaje!B250</f>
        <v>25</v>
      </c>
      <c r="BN30" s="135">
        <f>výdaje!B267</f>
        <v>220</v>
      </c>
      <c r="BO30" s="135">
        <f>výdaje!B284</f>
        <v>130</v>
      </c>
      <c r="BP30" s="135"/>
      <c r="BQ30" s="135"/>
      <c r="BR30" s="135"/>
      <c r="BS30" s="143">
        <f t="shared" si="29"/>
        <v>50</v>
      </c>
      <c r="BT30" s="135"/>
      <c r="BU30" s="135"/>
      <c r="BV30" s="135"/>
      <c r="BW30" s="135"/>
      <c r="BX30" s="135"/>
      <c r="BY30" s="135"/>
      <c r="BZ30" s="135">
        <f>výdaje!B425</f>
        <v>50</v>
      </c>
      <c r="CA30" s="143">
        <f t="shared" si="30"/>
        <v>200</v>
      </c>
      <c r="CB30" s="135">
        <f>výdaje!B472</f>
        <v>200</v>
      </c>
      <c r="CC30" s="135"/>
      <c r="CD30" s="135"/>
      <c r="CE30" s="135"/>
      <c r="CF30" s="135"/>
      <c r="CG30" s="143">
        <f t="shared" si="31"/>
        <v>0</v>
      </c>
      <c r="CH30" s="135"/>
      <c r="CI30" s="135"/>
      <c r="CJ30" s="139">
        <f t="shared" si="32"/>
        <v>0</v>
      </c>
      <c r="CK30" s="149"/>
      <c r="CL30" s="144"/>
      <c r="CM30" s="139"/>
      <c r="CN30" s="139"/>
      <c r="CO30" s="139">
        <f t="shared" si="33"/>
        <v>0</v>
      </c>
      <c r="CP30" s="149"/>
      <c r="CQ30" s="144"/>
      <c r="CR30" s="139"/>
      <c r="CS30" s="139"/>
      <c r="CT30" s="139"/>
      <c r="CU30" s="143">
        <f t="shared" si="34"/>
        <v>550</v>
      </c>
      <c r="CV30" s="135">
        <f>výdaje!B740+výdaje!B741+výdaje!B781</f>
        <v>550</v>
      </c>
      <c r="CW30" s="135"/>
      <c r="CX30" s="148"/>
      <c r="CY30" s="148">
        <f>výdaje!B635</f>
        <v>0</v>
      </c>
      <c r="CZ30" s="141"/>
    </row>
    <row r="31" spans="1:104" ht="12.75" customHeight="1" thickBot="1" thickTop="1">
      <c r="A31" s="132"/>
      <c r="B31" s="8" t="s">
        <v>316</v>
      </c>
      <c r="C31" s="133">
        <f t="shared" si="3"/>
        <v>690</v>
      </c>
      <c r="D31" s="588"/>
      <c r="E31" s="134">
        <f t="shared" si="22"/>
        <v>0</v>
      </c>
      <c r="F31" s="135"/>
      <c r="G31" s="135"/>
      <c r="H31" s="135"/>
      <c r="I31" s="135"/>
      <c r="J31" s="135"/>
      <c r="K31" s="135"/>
      <c r="L31" s="136">
        <f t="shared" si="23"/>
        <v>0</v>
      </c>
      <c r="M31" s="135">
        <f>příjmy!B25</f>
        <v>0</v>
      </c>
      <c r="N31" s="135"/>
      <c r="O31" s="135"/>
      <c r="P31" s="135"/>
      <c r="Q31" s="135"/>
      <c r="R31" s="135"/>
      <c r="S31" s="135"/>
      <c r="T31" s="137"/>
      <c r="U31" s="135"/>
      <c r="V31" s="135"/>
      <c r="W31" s="136">
        <f t="shared" si="24"/>
        <v>690</v>
      </c>
      <c r="X31" s="135">
        <f>příjmy!B72</f>
        <v>0</v>
      </c>
      <c r="Y31" s="135"/>
      <c r="Z31" s="135"/>
      <c r="AA31" s="135"/>
      <c r="AB31" s="135">
        <f>příjmy!B102</f>
        <v>385</v>
      </c>
      <c r="AC31" s="135"/>
      <c r="AD31" s="135"/>
      <c r="AE31" s="135"/>
      <c r="AF31" s="135"/>
      <c r="AG31" s="135"/>
      <c r="AH31" s="135">
        <f>příjmy!B147</f>
        <v>305</v>
      </c>
      <c r="AI31" s="135"/>
      <c r="AJ31" s="138"/>
      <c r="AK31" s="139"/>
      <c r="AL31" s="136">
        <f t="shared" si="25"/>
        <v>0</v>
      </c>
      <c r="AM31" s="135"/>
      <c r="AN31" s="135"/>
      <c r="AO31" s="140"/>
      <c r="AP31" s="139"/>
      <c r="AQ31" s="141"/>
      <c r="AR31" s="7"/>
      <c r="AS31" s="132"/>
      <c r="AT31" s="8" t="s">
        <v>316</v>
      </c>
      <c r="AU31" s="133">
        <f t="shared" si="5"/>
        <v>3460</v>
      </c>
      <c r="AV31" s="8"/>
      <c r="AW31" s="142">
        <f t="shared" si="26"/>
        <v>0</v>
      </c>
      <c r="AX31" s="135"/>
      <c r="AY31" s="135">
        <f>výdaje!B40</f>
        <v>0</v>
      </c>
      <c r="AZ31" s="135"/>
      <c r="BA31" s="135">
        <f>výdaje!B74</f>
        <v>0</v>
      </c>
      <c r="BB31" s="135">
        <f>výdaje!B102</f>
        <v>0</v>
      </c>
      <c r="BC31" s="135"/>
      <c r="BD31" s="135"/>
      <c r="BE31" s="143">
        <f t="shared" si="27"/>
        <v>10</v>
      </c>
      <c r="BF31" s="135"/>
      <c r="BG31" s="135"/>
      <c r="BH31" s="135"/>
      <c r="BI31" s="135"/>
      <c r="BJ31" s="144">
        <f>výdaje!B204</f>
        <v>10</v>
      </c>
      <c r="BK31" s="139"/>
      <c r="BL31" s="145">
        <f t="shared" si="28"/>
        <v>430</v>
      </c>
      <c r="BM31" s="135">
        <f>výdaje!B251</f>
        <v>30</v>
      </c>
      <c r="BN31" s="135"/>
      <c r="BO31" s="135">
        <f>výdaje!B285</f>
        <v>400</v>
      </c>
      <c r="BP31" s="135"/>
      <c r="BQ31" s="135">
        <f>výdaje!B313</f>
        <v>0</v>
      </c>
      <c r="BR31" s="135"/>
      <c r="BS31" s="143">
        <f t="shared" si="29"/>
        <v>20</v>
      </c>
      <c r="BT31" s="135"/>
      <c r="BU31" s="135"/>
      <c r="BV31" s="135"/>
      <c r="BW31" s="135"/>
      <c r="BX31" s="135"/>
      <c r="BY31" s="135"/>
      <c r="BZ31" s="135">
        <f>výdaje!B426</f>
        <v>20</v>
      </c>
      <c r="CA31" s="143">
        <f t="shared" si="30"/>
        <v>0</v>
      </c>
      <c r="CB31" s="135">
        <f>výdaje!B471</f>
        <v>0</v>
      </c>
      <c r="CC31" s="135"/>
      <c r="CD31" s="135"/>
      <c r="CE31" s="135"/>
      <c r="CF31" s="135"/>
      <c r="CG31" s="143">
        <f t="shared" si="31"/>
        <v>0</v>
      </c>
      <c r="CH31" s="135"/>
      <c r="CI31" s="135"/>
      <c r="CJ31" s="139">
        <f t="shared" si="32"/>
        <v>0</v>
      </c>
      <c r="CK31" s="149"/>
      <c r="CL31" s="144"/>
      <c r="CM31" s="139"/>
      <c r="CN31" s="139"/>
      <c r="CO31" s="139">
        <f t="shared" si="33"/>
        <v>0</v>
      </c>
      <c r="CP31" s="149"/>
      <c r="CQ31" s="144"/>
      <c r="CR31" s="139"/>
      <c r="CS31" s="139">
        <f>výdaje!B697</f>
        <v>0</v>
      </c>
      <c r="CT31" s="139"/>
      <c r="CU31" s="143">
        <f t="shared" si="34"/>
        <v>3000</v>
      </c>
      <c r="CV31" s="135">
        <f>výdaje!B718</f>
        <v>3000</v>
      </c>
      <c r="CW31" s="135"/>
      <c r="CX31" s="148"/>
      <c r="CY31" s="148"/>
      <c r="CZ31" s="141"/>
    </row>
    <row r="32" spans="1:104" ht="12.75" customHeight="1" thickBot="1" thickTop="1">
      <c r="A32" s="132"/>
      <c r="B32" s="8" t="s">
        <v>317</v>
      </c>
      <c r="C32" s="133">
        <f t="shared" si="3"/>
        <v>888</v>
      </c>
      <c r="D32" s="588"/>
      <c r="E32" s="134">
        <f t="shared" si="22"/>
        <v>0</v>
      </c>
      <c r="F32" s="135"/>
      <c r="G32" s="135"/>
      <c r="H32" s="135"/>
      <c r="I32" s="135"/>
      <c r="J32" s="135"/>
      <c r="K32" s="135"/>
      <c r="L32" s="136">
        <f t="shared" si="23"/>
        <v>0</v>
      </c>
      <c r="M32" s="135">
        <f>příjmy!B23</f>
        <v>0</v>
      </c>
      <c r="N32" s="135"/>
      <c r="O32" s="135"/>
      <c r="P32" s="135"/>
      <c r="Q32" s="135"/>
      <c r="R32" s="135"/>
      <c r="S32" s="135"/>
      <c r="T32" s="137"/>
      <c r="U32" s="135"/>
      <c r="V32" s="135"/>
      <c r="W32" s="136">
        <f t="shared" si="24"/>
        <v>888</v>
      </c>
      <c r="X32" s="135">
        <f>příjmy!B73</f>
        <v>0</v>
      </c>
      <c r="Y32" s="135"/>
      <c r="Z32" s="135"/>
      <c r="AA32" s="135"/>
      <c r="AB32" s="135">
        <f>příjmy!B103</f>
        <v>804</v>
      </c>
      <c r="AC32" s="135"/>
      <c r="AD32" s="135"/>
      <c r="AE32" s="135">
        <f>příjmy!B121</f>
        <v>0</v>
      </c>
      <c r="AF32" s="135"/>
      <c r="AG32" s="135"/>
      <c r="AH32" s="135">
        <f>příjmy!B148</f>
        <v>84</v>
      </c>
      <c r="AI32" s="135"/>
      <c r="AJ32" s="138"/>
      <c r="AK32" s="139"/>
      <c r="AL32" s="136">
        <f t="shared" si="25"/>
        <v>0</v>
      </c>
      <c r="AM32" s="135"/>
      <c r="AN32" s="135"/>
      <c r="AO32" s="140"/>
      <c r="AP32" s="139"/>
      <c r="AQ32" s="141"/>
      <c r="AR32" s="7"/>
      <c r="AS32" s="132"/>
      <c r="AT32" s="8" t="s">
        <v>317</v>
      </c>
      <c r="AU32" s="133">
        <f t="shared" si="5"/>
        <v>292</v>
      </c>
      <c r="AV32" s="8"/>
      <c r="AW32" s="142">
        <f t="shared" si="26"/>
        <v>0</v>
      </c>
      <c r="AX32" s="135"/>
      <c r="AY32" s="135"/>
      <c r="AZ32" s="135"/>
      <c r="BA32" s="135"/>
      <c r="BB32" s="135"/>
      <c r="BC32" s="135"/>
      <c r="BD32" s="135"/>
      <c r="BE32" s="143">
        <f t="shared" si="27"/>
        <v>10</v>
      </c>
      <c r="BF32" s="135"/>
      <c r="BG32" s="135"/>
      <c r="BH32" s="135"/>
      <c r="BI32" s="135"/>
      <c r="BJ32" s="144">
        <f>výdaje!B205</f>
        <v>10</v>
      </c>
      <c r="BK32" s="139"/>
      <c r="BL32" s="145">
        <f t="shared" si="28"/>
        <v>12</v>
      </c>
      <c r="BM32" s="135">
        <f>výdaje!B252</f>
        <v>5</v>
      </c>
      <c r="BN32" s="135">
        <f>výdaje!B268</f>
        <v>0</v>
      </c>
      <c r="BO32" s="135">
        <f>výdaje!B286</f>
        <v>7</v>
      </c>
      <c r="BP32" s="135"/>
      <c r="BQ32" s="135"/>
      <c r="BR32" s="135"/>
      <c r="BS32" s="143">
        <f t="shared" si="29"/>
        <v>10</v>
      </c>
      <c r="BT32" s="135"/>
      <c r="BU32" s="135"/>
      <c r="BV32" s="135"/>
      <c r="BW32" s="135"/>
      <c r="BX32" s="135"/>
      <c r="BY32" s="135"/>
      <c r="BZ32" s="135">
        <f>výdaje!B427</f>
        <v>10</v>
      </c>
      <c r="CA32" s="143">
        <f t="shared" si="30"/>
        <v>60</v>
      </c>
      <c r="CB32" s="135">
        <f>výdaje!B473</f>
        <v>60</v>
      </c>
      <c r="CC32" s="135"/>
      <c r="CD32" s="135"/>
      <c r="CE32" s="135"/>
      <c r="CF32" s="135"/>
      <c r="CG32" s="143">
        <f t="shared" si="31"/>
        <v>0</v>
      </c>
      <c r="CH32" s="135"/>
      <c r="CI32" s="135"/>
      <c r="CJ32" s="139">
        <f t="shared" si="32"/>
        <v>0</v>
      </c>
      <c r="CK32" s="149"/>
      <c r="CL32" s="144"/>
      <c r="CM32" s="139"/>
      <c r="CN32" s="139"/>
      <c r="CO32" s="139">
        <f t="shared" si="33"/>
        <v>0</v>
      </c>
      <c r="CP32" s="149"/>
      <c r="CQ32" s="144"/>
      <c r="CR32" s="139"/>
      <c r="CS32" s="139"/>
      <c r="CT32" s="139"/>
      <c r="CU32" s="143">
        <f t="shared" si="34"/>
        <v>200</v>
      </c>
      <c r="CV32" s="135">
        <f>výdaje!B760+výdaje!B777</f>
        <v>200</v>
      </c>
      <c r="CW32" s="135"/>
      <c r="CX32" s="148"/>
      <c r="CY32" s="148"/>
      <c r="CZ32" s="141"/>
    </row>
    <row r="33" spans="1:104" ht="12.75" customHeight="1" thickBot="1" thickTop="1">
      <c r="A33" s="132"/>
      <c r="B33" s="8" t="s">
        <v>318</v>
      </c>
      <c r="C33" s="133">
        <f t="shared" si="3"/>
        <v>262</v>
      </c>
      <c r="D33" s="588"/>
      <c r="E33" s="134">
        <f t="shared" si="22"/>
        <v>0</v>
      </c>
      <c r="F33" s="135"/>
      <c r="G33" s="135"/>
      <c r="H33" s="135"/>
      <c r="I33" s="135"/>
      <c r="J33" s="135"/>
      <c r="K33" s="135"/>
      <c r="L33" s="136">
        <f t="shared" si="23"/>
        <v>109</v>
      </c>
      <c r="M33" s="135">
        <f>příjmy!B26</f>
        <v>109</v>
      </c>
      <c r="N33" s="135">
        <f>příjmy!B45</f>
        <v>0</v>
      </c>
      <c r="O33" s="135"/>
      <c r="P33" s="135"/>
      <c r="Q33" s="135"/>
      <c r="R33" s="135"/>
      <c r="S33" s="135"/>
      <c r="T33" s="137"/>
      <c r="U33" s="135"/>
      <c r="V33" s="135"/>
      <c r="W33" s="136">
        <f t="shared" si="24"/>
        <v>135</v>
      </c>
      <c r="X33" s="135">
        <f>příjmy!B74</f>
        <v>0</v>
      </c>
      <c r="Y33" s="135"/>
      <c r="Z33" s="135"/>
      <c r="AA33" s="135">
        <f>příjmy!B97</f>
        <v>135</v>
      </c>
      <c r="AB33" s="135"/>
      <c r="AC33" s="135"/>
      <c r="AD33" s="135"/>
      <c r="AE33" s="135">
        <f>příjmy!B122</f>
        <v>0</v>
      </c>
      <c r="AF33" s="135"/>
      <c r="AG33" s="135">
        <f>příjmy!B168</f>
        <v>0</v>
      </c>
      <c r="AH33" s="135">
        <f>příjmy!B185+příjmy!B149</f>
        <v>0</v>
      </c>
      <c r="AI33" s="135"/>
      <c r="AJ33" s="138"/>
      <c r="AK33" s="139"/>
      <c r="AL33" s="136">
        <f t="shared" si="25"/>
        <v>0</v>
      </c>
      <c r="AM33" s="135"/>
      <c r="AN33" s="135"/>
      <c r="AO33" s="140"/>
      <c r="AP33" s="139">
        <f>příjmy!B288</f>
        <v>18</v>
      </c>
      <c r="AQ33" s="141"/>
      <c r="AR33" s="7"/>
      <c r="AS33" s="132"/>
      <c r="AT33" s="8" t="s">
        <v>318</v>
      </c>
      <c r="AU33" s="133">
        <f t="shared" si="5"/>
        <v>260</v>
      </c>
      <c r="AV33" s="8"/>
      <c r="AW33" s="142">
        <f t="shared" si="26"/>
        <v>0</v>
      </c>
      <c r="AX33" s="135"/>
      <c r="AY33" s="135"/>
      <c r="AZ33" s="135"/>
      <c r="BA33" s="135"/>
      <c r="BB33" s="135"/>
      <c r="BC33" s="135"/>
      <c r="BD33" s="135"/>
      <c r="BE33" s="143">
        <f t="shared" si="27"/>
        <v>5</v>
      </c>
      <c r="BF33" s="135"/>
      <c r="BG33" s="135"/>
      <c r="BH33" s="135"/>
      <c r="BI33" s="135"/>
      <c r="BJ33" s="144">
        <f>výdaje!B206</f>
        <v>5</v>
      </c>
      <c r="BK33" s="139"/>
      <c r="BL33" s="145">
        <f t="shared" si="28"/>
        <v>0</v>
      </c>
      <c r="BM33" s="135"/>
      <c r="BN33" s="135"/>
      <c r="BO33" s="135"/>
      <c r="BP33" s="135"/>
      <c r="BQ33" s="135"/>
      <c r="BR33" s="135"/>
      <c r="BS33" s="143">
        <f t="shared" si="29"/>
        <v>100</v>
      </c>
      <c r="BT33" s="135"/>
      <c r="BU33" s="135"/>
      <c r="BV33" s="135">
        <f>výdaje!B380</f>
        <v>0</v>
      </c>
      <c r="BW33" s="135"/>
      <c r="BX33" s="135"/>
      <c r="BY33" s="135">
        <f>výdaje!B403</f>
        <v>0</v>
      </c>
      <c r="BZ33" s="135">
        <f>výdaje!B428</f>
        <v>100</v>
      </c>
      <c r="CA33" s="143">
        <f t="shared" si="30"/>
        <v>15</v>
      </c>
      <c r="CB33" s="135"/>
      <c r="CC33" s="135">
        <f>výdaje!B494</f>
        <v>15</v>
      </c>
      <c r="CD33" s="135">
        <f>výdaje!B505</f>
        <v>0</v>
      </c>
      <c r="CE33" s="135">
        <f>výdaje!B528</f>
        <v>0</v>
      </c>
      <c r="CF33" s="135"/>
      <c r="CG33" s="143">
        <f t="shared" si="31"/>
        <v>0</v>
      </c>
      <c r="CH33" s="135"/>
      <c r="CI33" s="135"/>
      <c r="CJ33" s="139">
        <f t="shared" si="32"/>
        <v>0</v>
      </c>
      <c r="CK33" s="149"/>
      <c r="CL33" s="144"/>
      <c r="CM33" s="139"/>
      <c r="CN33" s="139"/>
      <c r="CO33" s="139">
        <f t="shared" si="33"/>
        <v>40</v>
      </c>
      <c r="CP33" s="149"/>
      <c r="CQ33" s="144">
        <f>výdaje!B599</f>
        <v>40</v>
      </c>
      <c r="CR33" s="139"/>
      <c r="CS33" s="139"/>
      <c r="CT33" s="139"/>
      <c r="CU33" s="143">
        <f t="shared" si="34"/>
        <v>100</v>
      </c>
      <c r="CV33" s="135">
        <f>výdaje!B723</f>
        <v>100</v>
      </c>
      <c r="CW33" s="135"/>
      <c r="CX33" s="148"/>
      <c r="CY33" s="148">
        <f>výdaje!B636</f>
        <v>0</v>
      </c>
      <c r="CZ33" s="141"/>
    </row>
    <row r="34" spans="1:104" ht="12.75" customHeight="1" thickBot="1" thickTop="1">
      <c r="A34" s="132"/>
      <c r="B34" s="8" t="s">
        <v>319</v>
      </c>
      <c r="C34" s="133">
        <f t="shared" si="3"/>
        <v>1410</v>
      </c>
      <c r="D34" s="588"/>
      <c r="E34" s="134">
        <f t="shared" si="22"/>
        <v>0</v>
      </c>
      <c r="F34" s="135"/>
      <c r="G34" s="135"/>
      <c r="H34" s="135"/>
      <c r="I34" s="135"/>
      <c r="J34" s="135"/>
      <c r="K34" s="135"/>
      <c r="L34" s="136">
        <f t="shared" si="23"/>
        <v>10</v>
      </c>
      <c r="M34" s="135">
        <f>příjmy!B27</f>
        <v>10</v>
      </c>
      <c r="N34" s="135"/>
      <c r="O34" s="135"/>
      <c r="P34" s="135"/>
      <c r="Q34" s="135"/>
      <c r="R34" s="135"/>
      <c r="S34" s="135"/>
      <c r="T34" s="137"/>
      <c r="U34" s="135"/>
      <c r="V34" s="135"/>
      <c r="W34" s="136">
        <f t="shared" si="24"/>
        <v>0</v>
      </c>
      <c r="X34" s="135"/>
      <c r="Y34" s="135"/>
      <c r="Z34" s="135"/>
      <c r="AA34" s="135"/>
      <c r="AB34" s="135"/>
      <c r="AC34" s="135"/>
      <c r="AD34" s="135"/>
      <c r="AE34" s="135">
        <f>příjmy!B123</f>
        <v>0</v>
      </c>
      <c r="AF34" s="135"/>
      <c r="AG34" s="135"/>
      <c r="AH34" s="135"/>
      <c r="AI34" s="135"/>
      <c r="AJ34" s="138"/>
      <c r="AK34" s="139"/>
      <c r="AL34" s="136">
        <f t="shared" si="25"/>
        <v>1400</v>
      </c>
      <c r="AM34" s="135">
        <f>příjmy!B230</f>
        <v>500</v>
      </c>
      <c r="AN34" s="135">
        <f>příjmy!B231</f>
        <v>900</v>
      </c>
      <c r="AO34" s="140">
        <f>příjmy!B238</f>
        <v>0</v>
      </c>
      <c r="AP34" s="139"/>
      <c r="AQ34" s="141"/>
      <c r="AR34" s="7"/>
      <c r="AS34" s="132"/>
      <c r="AT34" s="8" t="s">
        <v>319</v>
      </c>
      <c r="AU34" s="133">
        <f t="shared" si="5"/>
        <v>370</v>
      </c>
      <c r="AV34" s="8"/>
      <c r="AW34" s="142">
        <f t="shared" si="26"/>
        <v>0</v>
      </c>
      <c r="AX34" s="135"/>
      <c r="AY34" s="135"/>
      <c r="AZ34" s="135"/>
      <c r="BA34" s="135"/>
      <c r="BB34" s="135"/>
      <c r="BC34" s="135"/>
      <c r="BD34" s="135"/>
      <c r="BE34" s="143">
        <f t="shared" si="27"/>
        <v>0</v>
      </c>
      <c r="BF34" s="135"/>
      <c r="BG34" s="135"/>
      <c r="BH34" s="135"/>
      <c r="BI34" s="135"/>
      <c r="BJ34" s="144"/>
      <c r="BK34" s="139"/>
      <c r="BL34" s="145">
        <f t="shared" si="28"/>
        <v>0</v>
      </c>
      <c r="BM34" s="135"/>
      <c r="BN34" s="135"/>
      <c r="BO34" s="135"/>
      <c r="BP34" s="135"/>
      <c r="BQ34" s="135"/>
      <c r="BR34" s="135"/>
      <c r="BS34" s="143">
        <f t="shared" si="29"/>
        <v>150</v>
      </c>
      <c r="BT34" s="135"/>
      <c r="BU34" s="135"/>
      <c r="BV34" s="135"/>
      <c r="BW34" s="135">
        <f>výdaje!B383</f>
        <v>50</v>
      </c>
      <c r="BX34" s="135"/>
      <c r="BY34" s="135"/>
      <c r="BZ34" s="135">
        <f>výdaje!B429</f>
        <v>100</v>
      </c>
      <c r="CA34" s="143">
        <f t="shared" si="30"/>
        <v>0</v>
      </c>
      <c r="CB34" s="135"/>
      <c r="CC34" s="135"/>
      <c r="CD34" s="135"/>
      <c r="CE34" s="135"/>
      <c r="CF34" s="135"/>
      <c r="CG34" s="143">
        <f t="shared" si="31"/>
        <v>0</v>
      </c>
      <c r="CH34" s="135"/>
      <c r="CI34" s="135"/>
      <c r="CJ34" s="139">
        <f t="shared" si="32"/>
        <v>0</v>
      </c>
      <c r="CK34" s="149"/>
      <c r="CL34" s="144"/>
      <c r="CM34" s="139"/>
      <c r="CN34" s="139"/>
      <c r="CO34" s="139">
        <f t="shared" si="33"/>
        <v>220</v>
      </c>
      <c r="CP34" s="149">
        <f>výdaje!B617</f>
        <v>0</v>
      </c>
      <c r="CQ34" s="144">
        <f>výdaje!B600</f>
        <v>220</v>
      </c>
      <c r="CR34" s="139"/>
      <c r="CS34" s="139">
        <f>výdaje!B694</f>
        <v>0</v>
      </c>
      <c r="CT34" s="139"/>
      <c r="CU34" s="143">
        <f t="shared" si="34"/>
        <v>0</v>
      </c>
      <c r="CV34" s="135"/>
      <c r="CW34" s="135"/>
      <c r="CX34" s="148"/>
      <c r="CY34" s="148"/>
      <c r="CZ34" s="141"/>
    </row>
    <row r="35" spans="1:104" ht="12.75" customHeight="1" thickBot="1" thickTop="1">
      <c r="A35" s="150" t="s">
        <v>320</v>
      </c>
      <c r="B35" s="151"/>
      <c r="C35" s="122">
        <f t="shared" si="3"/>
        <v>9428</v>
      </c>
      <c r="D35" s="587"/>
      <c r="E35" s="152">
        <f aca="true" t="shared" si="35" ref="E35:AQ35">SUM(E36:E39)</f>
        <v>0</v>
      </c>
      <c r="F35" s="153">
        <f t="shared" si="35"/>
        <v>0</v>
      </c>
      <c r="G35" s="153">
        <f t="shared" si="35"/>
        <v>0</v>
      </c>
      <c r="H35" s="153">
        <f t="shared" si="35"/>
        <v>0</v>
      </c>
      <c r="I35" s="153">
        <f t="shared" si="35"/>
        <v>0</v>
      </c>
      <c r="J35" s="153">
        <f t="shared" si="35"/>
        <v>0</v>
      </c>
      <c r="K35" s="153">
        <f t="shared" si="35"/>
        <v>0</v>
      </c>
      <c r="L35" s="154">
        <f t="shared" si="35"/>
        <v>0</v>
      </c>
      <c r="M35" s="155">
        <f t="shared" si="35"/>
        <v>0</v>
      </c>
      <c r="N35" s="155">
        <f t="shared" si="35"/>
        <v>0</v>
      </c>
      <c r="O35" s="155">
        <f t="shared" si="35"/>
        <v>0</v>
      </c>
      <c r="P35" s="155">
        <f t="shared" si="35"/>
        <v>0</v>
      </c>
      <c r="Q35" s="155">
        <f t="shared" si="35"/>
        <v>0</v>
      </c>
      <c r="R35" s="155">
        <f t="shared" si="35"/>
        <v>0</v>
      </c>
      <c r="S35" s="155">
        <f t="shared" si="35"/>
        <v>0</v>
      </c>
      <c r="T35" s="155">
        <f t="shared" si="35"/>
        <v>0</v>
      </c>
      <c r="U35" s="155">
        <f t="shared" si="35"/>
        <v>0</v>
      </c>
      <c r="V35" s="155">
        <f t="shared" si="35"/>
        <v>0</v>
      </c>
      <c r="W35" s="154">
        <f t="shared" si="35"/>
        <v>2019</v>
      </c>
      <c r="X35" s="155">
        <f t="shared" si="35"/>
        <v>60</v>
      </c>
      <c r="Y35" s="155">
        <f t="shared" si="35"/>
        <v>0</v>
      </c>
      <c r="Z35" s="155">
        <f t="shared" si="35"/>
        <v>0</v>
      </c>
      <c r="AA35" s="155">
        <f t="shared" si="35"/>
        <v>0</v>
      </c>
      <c r="AB35" s="155">
        <f t="shared" si="35"/>
        <v>1012</v>
      </c>
      <c r="AC35" s="155">
        <f t="shared" si="35"/>
        <v>0</v>
      </c>
      <c r="AD35" s="155">
        <f t="shared" si="35"/>
        <v>0</v>
      </c>
      <c r="AE35" s="155">
        <f t="shared" si="35"/>
        <v>0</v>
      </c>
      <c r="AF35" s="155">
        <f t="shared" si="35"/>
        <v>0</v>
      </c>
      <c r="AG35" s="155">
        <f t="shared" si="35"/>
        <v>0</v>
      </c>
      <c r="AH35" s="155">
        <f t="shared" si="35"/>
        <v>947</v>
      </c>
      <c r="AI35" s="155">
        <f t="shared" si="35"/>
        <v>0</v>
      </c>
      <c r="AJ35" s="156">
        <f t="shared" si="35"/>
        <v>0</v>
      </c>
      <c r="AK35" s="154">
        <f t="shared" si="35"/>
        <v>0</v>
      </c>
      <c r="AL35" s="154">
        <f t="shared" si="35"/>
        <v>0</v>
      </c>
      <c r="AM35" s="155">
        <f t="shared" si="35"/>
        <v>0</v>
      </c>
      <c r="AN35" s="155">
        <f t="shared" si="35"/>
        <v>0</v>
      </c>
      <c r="AO35" s="151">
        <f t="shared" si="35"/>
        <v>0</v>
      </c>
      <c r="AP35" s="154">
        <f t="shared" si="35"/>
        <v>7379</v>
      </c>
      <c r="AQ35" s="157">
        <f t="shared" si="35"/>
        <v>30</v>
      </c>
      <c r="AR35" s="151"/>
      <c r="AS35" s="150" t="s">
        <v>320</v>
      </c>
      <c r="AT35" s="151"/>
      <c r="AU35" s="122">
        <f t="shared" si="5"/>
        <v>10117</v>
      </c>
      <c r="AV35" s="129"/>
      <c r="AW35" s="158">
        <f aca="true" t="shared" si="36" ref="AW35:CB35">SUM(AW36:AW39)</f>
        <v>1161</v>
      </c>
      <c r="AX35" s="155">
        <f t="shared" si="36"/>
        <v>800</v>
      </c>
      <c r="AY35" s="155">
        <f t="shared" si="36"/>
        <v>74</v>
      </c>
      <c r="AZ35" s="155">
        <f t="shared" si="36"/>
        <v>0</v>
      </c>
      <c r="BA35" s="155">
        <f t="shared" si="36"/>
        <v>210</v>
      </c>
      <c r="BB35" s="155">
        <f t="shared" si="36"/>
        <v>76</v>
      </c>
      <c r="BC35" s="155">
        <f t="shared" si="36"/>
        <v>1</v>
      </c>
      <c r="BD35" s="155">
        <f t="shared" si="36"/>
        <v>0</v>
      </c>
      <c r="BE35" s="154">
        <f t="shared" si="36"/>
        <v>108</v>
      </c>
      <c r="BF35" s="155">
        <f t="shared" si="36"/>
        <v>0</v>
      </c>
      <c r="BG35" s="155">
        <f t="shared" si="36"/>
        <v>0</v>
      </c>
      <c r="BH35" s="155">
        <f t="shared" si="36"/>
        <v>10</v>
      </c>
      <c r="BI35" s="155">
        <f t="shared" si="36"/>
        <v>0</v>
      </c>
      <c r="BJ35" s="159">
        <f t="shared" si="36"/>
        <v>98</v>
      </c>
      <c r="BK35" s="154">
        <f t="shared" si="36"/>
        <v>0</v>
      </c>
      <c r="BL35" s="152">
        <f t="shared" si="36"/>
        <v>870</v>
      </c>
      <c r="BM35" s="155">
        <f t="shared" si="36"/>
        <v>180</v>
      </c>
      <c r="BN35" s="155">
        <f t="shared" si="36"/>
        <v>0</v>
      </c>
      <c r="BO35" s="155">
        <f t="shared" si="36"/>
        <v>90</v>
      </c>
      <c r="BP35" s="155">
        <f t="shared" si="36"/>
        <v>0</v>
      </c>
      <c r="BQ35" s="155">
        <f t="shared" si="36"/>
        <v>0</v>
      </c>
      <c r="BR35" s="155">
        <f t="shared" si="36"/>
        <v>600</v>
      </c>
      <c r="BS35" s="154">
        <f t="shared" si="36"/>
        <v>123</v>
      </c>
      <c r="BT35" s="155">
        <f t="shared" si="36"/>
        <v>3</v>
      </c>
      <c r="BU35" s="155">
        <f t="shared" si="36"/>
        <v>15</v>
      </c>
      <c r="BV35" s="155">
        <f t="shared" si="36"/>
        <v>0</v>
      </c>
      <c r="BW35" s="155">
        <f t="shared" si="36"/>
        <v>0</v>
      </c>
      <c r="BX35" s="155">
        <f t="shared" si="36"/>
        <v>2</v>
      </c>
      <c r="BY35" s="155">
        <f t="shared" si="36"/>
        <v>0</v>
      </c>
      <c r="BZ35" s="155">
        <f t="shared" si="36"/>
        <v>103</v>
      </c>
      <c r="CA35" s="154">
        <f t="shared" si="36"/>
        <v>84</v>
      </c>
      <c r="CB35" s="155">
        <f t="shared" si="36"/>
        <v>60</v>
      </c>
      <c r="CC35" s="155">
        <f aca="true" t="shared" si="37" ref="CC35:CZ35">SUM(CC36:CC39)</f>
        <v>4</v>
      </c>
      <c r="CD35" s="155">
        <f t="shared" si="37"/>
        <v>18</v>
      </c>
      <c r="CE35" s="155">
        <f t="shared" si="37"/>
        <v>2</v>
      </c>
      <c r="CF35" s="155">
        <f t="shared" si="37"/>
        <v>0</v>
      </c>
      <c r="CG35" s="154">
        <f t="shared" si="37"/>
        <v>0</v>
      </c>
      <c r="CH35" s="155">
        <f t="shared" si="37"/>
        <v>0</v>
      </c>
      <c r="CI35" s="155">
        <f t="shared" si="37"/>
        <v>0</v>
      </c>
      <c r="CJ35" s="154">
        <f t="shared" si="37"/>
        <v>0</v>
      </c>
      <c r="CK35" s="154">
        <f t="shared" si="37"/>
        <v>0</v>
      </c>
      <c r="CL35" s="154">
        <f t="shared" si="37"/>
        <v>0</v>
      </c>
      <c r="CM35" s="154">
        <f t="shared" si="37"/>
        <v>0</v>
      </c>
      <c r="CN35" s="154">
        <f t="shared" si="37"/>
        <v>0</v>
      </c>
      <c r="CO35" s="154">
        <f t="shared" si="37"/>
        <v>0</v>
      </c>
      <c r="CP35" s="154">
        <f t="shared" si="37"/>
        <v>0</v>
      </c>
      <c r="CQ35" s="154">
        <f t="shared" si="37"/>
        <v>0</v>
      </c>
      <c r="CR35" s="154">
        <f t="shared" si="37"/>
        <v>0</v>
      </c>
      <c r="CS35" s="154">
        <f t="shared" si="37"/>
        <v>7768</v>
      </c>
      <c r="CT35" s="154">
        <f t="shared" si="37"/>
        <v>0</v>
      </c>
      <c r="CU35" s="154">
        <f t="shared" si="37"/>
        <v>3</v>
      </c>
      <c r="CV35" s="155">
        <f t="shared" si="37"/>
        <v>3</v>
      </c>
      <c r="CW35" s="155">
        <f t="shared" si="37"/>
        <v>0</v>
      </c>
      <c r="CX35" s="155">
        <f t="shared" si="37"/>
        <v>0</v>
      </c>
      <c r="CY35" s="155">
        <f t="shared" si="37"/>
        <v>0</v>
      </c>
      <c r="CZ35" s="157">
        <f t="shared" si="37"/>
        <v>0</v>
      </c>
    </row>
    <row r="36" spans="1:104" ht="12.75" customHeight="1" thickBot="1" thickTop="1">
      <c r="A36" s="132"/>
      <c r="B36" s="8" t="s">
        <v>321</v>
      </c>
      <c r="C36" s="133">
        <f t="shared" si="3"/>
        <v>0</v>
      </c>
      <c r="D36" s="588"/>
      <c r="E36" s="134">
        <f>SUM(F36:K36)</f>
        <v>0</v>
      </c>
      <c r="F36" s="135"/>
      <c r="G36" s="135"/>
      <c r="H36" s="135"/>
      <c r="I36" s="135"/>
      <c r="J36" s="135"/>
      <c r="K36" s="135"/>
      <c r="L36" s="136">
        <f>SUM(M36:V36)</f>
        <v>0</v>
      </c>
      <c r="M36" s="135"/>
      <c r="N36" s="135"/>
      <c r="O36" s="135"/>
      <c r="P36" s="135"/>
      <c r="Q36" s="135"/>
      <c r="R36" s="135"/>
      <c r="S36" s="135"/>
      <c r="T36" s="137"/>
      <c r="U36" s="135"/>
      <c r="V36" s="135"/>
      <c r="W36" s="136">
        <f>SUM(X36:AI36)</f>
        <v>0</v>
      </c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8"/>
      <c r="AK36" s="139"/>
      <c r="AL36" s="136">
        <f>SUM(AM36:AO36)</f>
        <v>0</v>
      </c>
      <c r="AM36" s="135"/>
      <c r="AN36" s="135"/>
      <c r="AO36" s="140"/>
      <c r="AP36" s="139"/>
      <c r="AQ36" s="141"/>
      <c r="AR36" s="7"/>
      <c r="AS36" s="132"/>
      <c r="AT36" s="8" t="s">
        <v>321</v>
      </c>
      <c r="AU36" s="133">
        <f t="shared" si="5"/>
        <v>12</v>
      </c>
      <c r="AV36" s="8"/>
      <c r="AW36" s="142">
        <f>SUM(AX36:BD36)</f>
        <v>0</v>
      </c>
      <c r="AX36" s="135"/>
      <c r="AY36" s="135"/>
      <c r="AZ36" s="135"/>
      <c r="BA36" s="135"/>
      <c r="BB36" s="135"/>
      <c r="BC36" s="135"/>
      <c r="BD36" s="135"/>
      <c r="BE36" s="143">
        <f>SUM(BF36:BJ36)</f>
        <v>0</v>
      </c>
      <c r="BF36" s="135"/>
      <c r="BG36" s="135"/>
      <c r="BH36" s="135">
        <f>výdaje!B150</f>
        <v>0</v>
      </c>
      <c r="BI36" s="135"/>
      <c r="BJ36" s="144">
        <f>výdaje!B207</f>
        <v>0</v>
      </c>
      <c r="BK36" s="139"/>
      <c r="BL36" s="145">
        <f>SUM(BM36:BR36)</f>
        <v>0</v>
      </c>
      <c r="BM36" s="135">
        <f>výdaje!B253</f>
        <v>0</v>
      </c>
      <c r="BN36" s="135">
        <f>výdaje!B269</f>
        <v>0</v>
      </c>
      <c r="BO36" s="135">
        <f>výdaje!B287</f>
        <v>0</v>
      </c>
      <c r="BP36" s="135"/>
      <c r="BQ36" s="135"/>
      <c r="BR36" s="135"/>
      <c r="BS36" s="143">
        <f>SUM(BT36:BZ36)</f>
        <v>12</v>
      </c>
      <c r="BT36" s="135"/>
      <c r="BU36" s="135">
        <f>výdaje!B356</f>
        <v>0</v>
      </c>
      <c r="BV36" s="135"/>
      <c r="BW36" s="135"/>
      <c r="BX36" s="135"/>
      <c r="BY36" s="135"/>
      <c r="BZ36" s="135">
        <f>výdaje!B431</f>
        <v>12</v>
      </c>
      <c r="CA36" s="143">
        <f>SUM(CB36:CF36)</f>
        <v>0</v>
      </c>
      <c r="CB36" s="135"/>
      <c r="CC36" s="135"/>
      <c r="CD36" s="135"/>
      <c r="CE36" s="135">
        <f>výdaje!B530</f>
        <v>0</v>
      </c>
      <c r="CF36" s="135"/>
      <c r="CG36" s="143">
        <f>SUM(CH36:CI36)</f>
        <v>0</v>
      </c>
      <c r="CH36" s="135"/>
      <c r="CI36" s="135"/>
      <c r="CJ36" s="139">
        <f>SUM(CK36:CL36)</f>
        <v>0</v>
      </c>
      <c r="CK36" s="149"/>
      <c r="CL36" s="144"/>
      <c r="CM36" s="139"/>
      <c r="CN36" s="139"/>
      <c r="CO36" s="139">
        <f>SUM(CP36:CQ36)</f>
        <v>0</v>
      </c>
      <c r="CP36" s="149"/>
      <c r="CQ36" s="144"/>
      <c r="CR36" s="139"/>
      <c r="CS36" s="139"/>
      <c r="CT36" s="139"/>
      <c r="CU36" s="143">
        <f>CV36+CW36</f>
        <v>0</v>
      </c>
      <c r="CV36" s="135"/>
      <c r="CW36" s="135"/>
      <c r="CX36" s="148"/>
      <c r="CY36" s="148"/>
      <c r="CZ36" s="141"/>
    </row>
    <row r="37" spans="1:104" ht="12.75" customHeight="1" thickBot="1" thickTop="1">
      <c r="A37" s="132"/>
      <c r="B37" s="8" t="s">
        <v>322</v>
      </c>
      <c r="C37" s="133">
        <f t="shared" si="3"/>
        <v>258</v>
      </c>
      <c r="D37" s="588"/>
      <c r="E37" s="134">
        <f>SUM(F37:K37)</f>
        <v>0</v>
      </c>
      <c r="F37" s="135"/>
      <c r="G37" s="135"/>
      <c r="H37" s="135"/>
      <c r="I37" s="135"/>
      <c r="J37" s="135"/>
      <c r="K37" s="135"/>
      <c r="L37" s="136">
        <f>SUM(M37:V37)</f>
        <v>0</v>
      </c>
      <c r="M37" s="135"/>
      <c r="N37" s="135"/>
      <c r="O37" s="135"/>
      <c r="P37" s="135"/>
      <c r="Q37" s="135"/>
      <c r="R37" s="135"/>
      <c r="S37" s="135"/>
      <c r="T37" s="137"/>
      <c r="U37" s="135"/>
      <c r="V37" s="135"/>
      <c r="W37" s="136">
        <f>SUM(X37:AI37)</f>
        <v>0</v>
      </c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>
        <f>příjmy!B186+příjmy!B187</f>
        <v>0</v>
      </c>
      <c r="AI37" s="135"/>
      <c r="AJ37" s="138"/>
      <c r="AK37" s="139"/>
      <c r="AL37" s="136">
        <f>SUM(AM37:AO37)</f>
        <v>0</v>
      </c>
      <c r="AM37" s="135"/>
      <c r="AN37" s="135"/>
      <c r="AO37" s="140"/>
      <c r="AP37" s="139">
        <f>příjmy!B293</f>
        <v>258</v>
      </c>
      <c r="AQ37" s="141"/>
      <c r="AR37" s="7"/>
      <c r="AS37" s="132"/>
      <c r="AT37" s="8" t="s">
        <v>322</v>
      </c>
      <c r="AU37" s="133">
        <f t="shared" si="5"/>
        <v>370</v>
      </c>
      <c r="AV37" s="8"/>
      <c r="AW37" s="142">
        <f>SUM(AX37:BD37)</f>
        <v>283</v>
      </c>
      <c r="AX37" s="135">
        <f>výdaje!B14</f>
        <v>180</v>
      </c>
      <c r="AY37" s="135">
        <f>výdaje!B42</f>
        <v>39</v>
      </c>
      <c r="AZ37" s="135"/>
      <c r="BA37" s="135">
        <f>výdaje!B76</f>
        <v>46</v>
      </c>
      <c r="BB37" s="135">
        <f>výdaje!B104</f>
        <v>17</v>
      </c>
      <c r="BC37" s="135">
        <f>výdaje!B122</f>
        <v>1</v>
      </c>
      <c r="BD37" s="135"/>
      <c r="BE37" s="143">
        <f>SUM(BF37:BJ37)</f>
        <v>43</v>
      </c>
      <c r="BF37" s="135"/>
      <c r="BG37" s="135"/>
      <c r="BH37" s="135">
        <f>výdaje!B157</f>
        <v>0</v>
      </c>
      <c r="BI37" s="135"/>
      <c r="BJ37" s="144">
        <f>výdaje!B208</f>
        <v>43</v>
      </c>
      <c r="BK37" s="139"/>
      <c r="BL37" s="145">
        <f>SUM(BM37:BR37)</f>
        <v>15</v>
      </c>
      <c r="BM37" s="135"/>
      <c r="BN37" s="135"/>
      <c r="BO37" s="135">
        <f>výdaje!B288</f>
        <v>15</v>
      </c>
      <c r="BP37" s="135"/>
      <c r="BQ37" s="135"/>
      <c r="BR37" s="135"/>
      <c r="BS37" s="143">
        <f>SUM(BT37:BZ37)</f>
        <v>14</v>
      </c>
      <c r="BT37" s="135"/>
      <c r="BU37" s="135">
        <f>výdaje!B357</f>
        <v>5</v>
      </c>
      <c r="BV37" s="135">
        <f>výdaje!B374</f>
        <v>0</v>
      </c>
      <c r="BW37" s="135"/>
      <c r="BX37" s="135">
        <f>výdaje!B389</f>
        <v>2</v>
      </c>
      <c r="BY37" s="135"/>
      <c r="BZ37" s="135">
        <f>výdaje!B433</f>
        <v>7</v>
      </c>
      <c r="CA37" s="143">
        <f>SUM(CB37:CF37)</f>
        <v>8</v>
      </c>
      <c r="CB37" s="135"/>
      <c r="CC37" s="135"/>
      <c r="CD37" s="135">
        <f>výdaje!B506</f>
        <v>8</v>
      </c>
      <c r="CE37" s="135">
        <f>výdaje!B531</f>
        <v>0</v>
      </c>
      <c r="CF37" s="135"/>
      <c r="CG37" s="143">
        <f>SUM(CH37:CI37)</f>
        <v>0</v>
      </c>
      <c r="CH37" s="135"/>
      <c r="CI37" s="135"/>
      <c r="CJ37" s="139">
        <f>SUM(CK37:CL37)</f>
        <v>0</v>
      </c>
      <c r="CK37" s="169"/>
      <c r="CL37" s="170"/>
      <c r="CM37" s="139">
        <f>výdaje!B574+výdaje!B576</f>
        <v>0</v>
      </c>
      <c r="CN37" s="139"/>
      <c r="CO37" s="139">
        <f>SUM(CP37:CQ37)</f>
        <v>0</v>
      </c>
      <c r="CP37" s="149"/>
      <c r="CQ37" s="144"/>
      <c r="CR37" s="139">
        <f>výdaje!B689</f>
        <v>0</v>
      </c>
      <c r="CS37" s="139">
        <f>výdaje!B664</f>
        <v>7</v>
      </c>
      <c r="CT37" s="139"/>
      <c r="CU37" s="143">
        <f>CV37+CW37</f>
        <v>0</v>
      </c>
      <c r="CV37" s="135"/>
      <c r="CW37" s="135"/>
      <c r="CX37" s="148"/>
      <c r="CY37" s="148"/>
      <c r="CZ37" s="141"/>
    </row>
    <row r="38" spans="1:104" ht="12.75" customHeight="1" thickBot="1" thickTop="1">
      <c r="A38" s="132"/>
      <c r="B38" s="171" t="s">
        <v>323</v>
      </c>
      <c r="C38" s="133">
        <f aca="true" t="shared" si="38" ref="C38:C61">SUM(E38,L38,W38,AJ38,AK38,AL38,AP38,AQ38)</f>
        <v>7151</v>
      </c>
      <c r="D38" s="588"/>
      <c r="E38" s="134">
        <f>SUM(F38:K38)</f>
        <v>0</v>
      </c>
      <c r="F38" s="135"/>
      <c r="G38" s="135"/>
      <c r="H38" s="135"/>
      <c r="I38" s="135"/>
      <c r="J38" s="135"/>
      <c r="K38" s="135"/>
      <c r="L38" s="136">
        <f>SUM(M38:V38)</f>
        <v>0</v>
      </c>
      <c r="M38" s="135"/>
      <c r="N38" s="135"/>
      <c r="O38" s="135"/>
      <c r="P38" s="135"/>
      <c r="Q38" s="135"/>
      <c r="R38" s="135"/>
      <c r="S38" s="135"/>
      <c r="T38" s="137"/>
      <c r="U38" s="135"/>
      <c r="V38" s="135"/>
      <c r="W38" s="136">
        <f>SUM(X38:AI38)</f>
        <v>0</v>
      </c>
      <c r="X38" s="135">
        <f>příjmy!B75</f>
        <v>0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>
        <f>příjmy!B190+příjmy!B191+příjmy!B192+příjmy!B188+příjmy!B193+příjmy!B189</f>
        <v>0</v>
      </c>
      <c r="AI38" s="135"/>
      <c r="AJ38" s="138"/>
      <c r="AK38" s="139"/>
      <c r="AL38" s="136">
        <f>SUM(AM38:AO38)</f>
        <v>0</v>
      </c>
      <c r="AM38" s="135"/>
      <c r="AN38" s="135"/>
      <c r="AO38" s="140"/>
      <c r="AP38" s="139">
        <f>příjmy!B274+příjmy!B275+příjmy!B276+příjmy!B277+příjmy!B278+příjmy!B279+příjmy!B280+příjmy!B283+příjmy!B273+příjmy!B281</f>
        <v>7121</v>
      </c>
      <c r="AQ38" s="141">
        <f>příjmy!B282</f>
        <v>30</v>
      </c>
      <c r="AR38" s="7"/>
      <c r="AS38" s="132"/>
      <c r="AT38" s="171" t="s">
        <v>323</v>
      </c>
      <c r="AU38" s="133">
        <f aca="true" t="shared" si="39" ref="AU38:AU61">SUM(AW38,BE38,BK38,BS38,BL38,CA38,CG38,CJ38,CM38,CN38,CO38,CR38,CS38,CT38,CU38,CX38,CY38,CZ38)</f>
        <v>8186</v>
      </c>
      <c r="AV38" s="8"/>
      <c r="AW38" s="142">
        <f>SUM(AX38:BD38)</f>
        <v>422</v>
      </c>
      <c r="AX38" s="135">
        <f>výdaje!B15</f>
        <v>315</v>
      </c>
      <c r="AY38" s="135"/>
      <c r="AZ38" s="135"/>
      <c r="BA38" s="135">
        <f>výdaje!B77</f>
        <v>79</v>
      </c>
      <c r="BB38" s="135">
        <f>výdaje!B105</f>
        <v>28</v>
      </c>
      <c r="BC38" s="135"/>
      <c r="BD38" s="135"/>
      <c r="BE38" s="143">
        <f>SUM(BF38:BJ38)</f>
        <v>0</v>
      </c>
      <c r="BF38" s="135"/>
      <c r="BG38" s="135"/>
      <c r="BH38" s="135"/>
      <c r="BI38" s="135"/>
      <c r="BJ38" s="144"/>
      <c r="BK38" s="139"/>
      <c r="BL38" s="145">
        <f>SUM(BM38:BR38)</f>
        <v>0</v>
      </c>
      <c r="BM38" s="135"/>
      <c r="BN38" s="135"/>
      <c r="BO38" s="135"/>
      <c r="BP38" s="135"/>
      <c r="BQ38" s="135"/>
      <c r="BR38" s="135"/>
      <c r="BS38" s="143">
        <f>SUM(BT38:BZ38)</f>
        <v>0</v>
      </c>
      <c r="BT38" s="135"/>
      <c r="BU38" s="135"/>
      <c r="BV38" s="135"/>
      <c r="BW38" s="135"/>
      <c r="BX38" s="135"/>
      <c r="BY38" s="135"/>
      <c r="BZ38" s="135"/>
      <c r="CA38" s="143">
        <f>SUM(CB38:CF38)</f>
        <v>0</v>
      </c>
      <c r="CB38" s="135"/>
      <c r="CC38" s="135"/>
      <c r="CD38" s="135"/>
      <c r="CE38" s="135"/>
      <c r="CF38" s="135"/>
      <c r="CG38" s="143">
        <f>SUM(CH38:CI38)</f>
        <v>0</v>
      </c>
      <c r="CH38" s="135"/>
      <c r="CI38" s="135"/>
      <c r="CJ38" s="139">
        <f>SUM(CK38:CL38)</f>
        <v>0</v>
      </c>
      <c r="CK38" s="172"/>
      <c r="CL38" s="173"/>
      <c r="CM38" s="139"/>
      <c r="CN38" s="139"/>
      <c r="CO38" s="139">
        <f>SUM(CP38:CQ38)</f>
        <v>0</v>
      </c>
      <c r="CP38" s="172">
        <f>výdaje!B621+výdaje!B620</f>
        <v>0</v>
      </c>
      <c r="CQ38" s="173">
        <f>výdaje!B614</f>
        <v>0</v>
      </c>
      <c r="CR38" s="139"/>
      <c r="CS38" s="139">
        <f>výdaje!B667+výdaje!B699+výdaje!B668+výdaje!B670+výdaje!B671+výdaje!B677+výdaje!B672+výdaje!B673+výdaje!B675+výdaje!B669+výdaje!B674</f>
        <v>7761</v>
      </c>
      <c r="CT38" s="139"/>
      <c r="CU38" s="143">
        <f>CV38+CW38</f>
        <v>3</v>
      </c>
      <c r="CV38" s="135">
        <f>výdaje!B726+výdaje!B727</f>
        <v>3</v>
      </c>
      <c r="CW38" s="135"/>
      <c r="CX38" s="148"/>
      <c r="CY38" s="148"/>
      <c r="CZ38" s="141"/>
    </row>
    <row r="39" spans="1:104" ht="12" customHeight="1" thickBot="1" thickTop="1">
      <c r="A39" s="132"/>
      <c r="B39" s="8" t="s">
        <v>324</v>
      </c>
      <c r="C39" s="133">
        <f t="shared" si="38"/>
        <v>2019</v>
      </c>
      <c r="D39" s="588"/>
      <c r="E39" s="134">
        <f>SUM(F39:K39)</f>
        <v>0</v>
      </c>
      <c r="F39" s="135"/>
      <c r="G39" s="135"/>
      <c r="H39" s="135"/>
      <c r="I39" s="135"/>
      <c r="J39" s="135"/>
      <c r="K39" s="135"/>
      <c r="L39" s="136">
        <f>SUM(M39:V39)</f>
        <v>0</v>
      </c>
      <c r="M39" s="135">
        <f>příjmy!B37+příjmy!B38</f>
        <v>0</v>
      </c>
      <c r="N39" s="135"/>
      <c r="O39" s="135"/>
      <c r="P39" s="135"/>
      <c r="Q39" s="135"/>
      <c r="R39" s="135"/>
      <c r="S39" s="135"/>
      <c r="T39" s="137"/>
      <c r="U39" s="135"/>
      <c r="V39" s="135"/>
      <c r="W39" s="136">
        <f>SUM(X39:AI39)</f>
        <v>2019</v>
      </c>
      <c r="X39" s="135">
        <f>příjmy!B89</f>
        <v>60</v>
      </c>
      <c r="Y39" s="135"/>
      <c r="Z39" s="135"/>
      <c r="AA39" s="135"/>
      <c r="AB39" s="135">
        <f>příjmy!B112</f>
        <v>1012</v>
      </c>
      <c r="AC39" s="135"/>
      <c r="AD39" s="135"/>
      <c r="AE39" s="135"/>
      <c r="AF39" s="135"/>
      <c r="AG39" s="135">
        <f>příjmy!B163</f>
        <v>0</v>
      </c>
      <c r="AH39" s="135">
        <f>příjmy!B155</f>
        <v>947</v>
      </c>
      <c r="AI39" s="135"/>
      <c r="AJ39" s="138"/>
      <c r="AK39" s="139"/>
      <c r="AL39" s="136">
        <f>SUM(AM39:AO39)</f>
        <v>0</v>
      </c>
      <c r="AM39" s="135"/>
      <c r="AN39" s="135"/>
      <c r="AO39" s="140"/>
      <c r="AP39" s="139"/>
      <c r="AQ39" s="141"/>
      <c r="AR39" s="7"/>
      <c r="AS39" s="132"/>
      <c r="AT39" s="8" t="s">
        <v>324</v>
      </c>
      <c r="AU39" s="133">
        <f t="shared" si="39"/>
        <v>1549</v>
      </c>
      <c r="AV39" s="8"/>
      <c r="AW39" s="142">
        <f>SUM(AX39:BD39)</f>
        <v>456</v>
      </c>
      <c r="AX39" s="135">
        <f>výdaje!B27</f>
        <v>305</v>
      </c>
      <c r="AY39" s="135">
        <f>výdaje!B57</f>
        <v>35</v>
      </c>
      <c r="AZ39" s="135"/>
      <c r="BA39" s="135">
        <f>výdaje!B92</f>
        <v>85</v>
      </c>
      <c r="BB39" s="135">
        <f>výdaje!B120</f>
        <v>31</v>
      </c>
      <c r="BC39" s="135"/>
      <c r="BD39" s="135"/>
      <c r="BE39" s="143">
        <f>SUM(BF39:BJ39)</f>
        <v>65</v>
      </c>
      <c r="BF39" s="135"/>
      <c r="BG39" s="135"/>
      <c r="BH39" s="135">
        <f>výdaje!B170+výdaje!B171</f>
        <v>10</v>
      </c>
      <c r="BI39" s="135"/>
      <c r="BJ39" s="144">
        <f>výdaje!B229+výdaje!B230</f>
        <v>55</v>
      </c>
      <c r="BK39" s="139"/>
      <c r="BL39" s="145">
        <f>SUM(BM39:BR39)</f>
        <v>855</v>
      </c>
      <c r="BM39" s="135">
        <f>výdaje!B264</f>
        <v>180</v>
      </c>
      <c r="BN39" s="135">
        <f>výdaje!B277</f>
        <v>0</v>
      </c>
      <c r="BO39" s="135">
        <f>výdaje!B301</f>
        <v>75</v>
      </c>
      <c r="BP39" s="135"/>
      <c r="BQ39" s="135"/>
      <c r="BR39" s="135">
        <f>výdaje!B330</f>
        <v>600</v>
      </c>
      <c r="BS39" s="143">
        <f>SUM(BT39:BZ39)</f>
        <v>97</v>
      </c>
      <c r="BT39" s="135">
        <f>výdaje!B346</f>
        <v>3</v>
      </c>
      <c r="BU39" s="135">
        <f>výdaje!B370</f>
        <v>10</v>
      </c>
      <c r="BV39" s="135"/>
      <c r="BW39" s="135"/>
      <c r="BX39" s="135"/>
      <c r="BY39" s="135">
        <f>výdaje!B410</f>
        <v>0</v>
      </c>
      <c r="BZ39" s="135">
        <f>výdaje!B453+výdaje!B454</f>
        <v>84</v>
      </c>
      <c r="CA39" s="143">
        <f>SUM(CB39:CF39)</f>
        <v>76</v>
      </c>
      <c r="CB39" s="135">
        <f>výdaje!B489</f>
        <v>60</v>
      </c>
      <c r="CC39" s="135">
        <f>výdaje!B498</f>
        <v>4</v>
      </c>
      <c r="CD39" s="135">
        <f>výdaje!B516</f>
        <v>10</v>
      </c>
      <c r="CE39" s="135">
        <f>výdaje!B536</f>
        <v>2</v>
      </c>
      <c r="CF39" s="135"/>
      <c r="CG39" s="143">
        <f>SUM(CH39:CI39)</f>
        <v>0</v>
      </c>
      <c r="CH39" s="135"/>
      <c r="CI39" s="135"/>
      <c r="CJ39" s="139">
        <f>SUM(CK39:CL39)</f>
        <v>0</v>
      </c>
      <c r="CK39" s="160"/>
      <c r="CL39" s="161"/>
      <c r="CM39" s="139"/>
      <c r="CN39" s="139"/>
      <c r="CO39" s="139">
        <f>SUM(CP39:CQ39)</f>
        <v>0</v>
      </c>
      <c r="CP39" s="160"/>
      <c r="CQ39" s="161"/>
      <c r="CR39" s="139"/>
      <c r="CS39" s="139"/>
      <c r="CT39" s="139"/>
      <c r="CU39" s="143">
        <f>CV39+CW39</f>
        <v>0</v>
      </c>
      <c r="CV39" s="135">
        <f>výdaje!B766</f>
        <v>0</v>
      </c>
      <c r="CW39" s="135"/>
      <c r="CX39" s="148"/>
      <c r="CY39" s="148">
        <f>výdaje!B646</f>
        <v>0</v>
      </c>
      <c r="CZ39" s="141"/>
    </row>
    <row r="40" spans="1:104" ht="12.75" customHeight="1" thickBot="1" thickTop="1">
      <c r="A40" s="150" t="s">
        <v>325</v>
      </c>
      <c r="B40" s="151"/>
      <c r="C40" s="122">
        <f t="shared" si="38"/>
        <v>12535</v>
      </c>
      <c r="D40" s="587"/>
      <c r="E40" s="152">
        <f aca="true" t="shared" si="40" ref="E40:AQ40">SUM(E41:E55)</f>
        <v>0</v>
      </c>
      <c r="F40" s="152">
        <f t="shared" si="40"/>
        <v>0</v>
      </c>
      <c r="G40" s="152">
        <f t="shared" si="40"/>
        <v>0</v>
      </c>
      <c r="H40" s="152">
        <f t="shared" si="40"/>
        <v>0</v>
      </c>
      <c r="I40" s="152">
        <f t="shared" si="40"/>
        <v>0</v>
      </c>
      <c r="J40" s="152">
        <f t="shared" si="40"/>
        <v>0</v>
      </c>
      <c r="K40" s="152">
        <f t="shared" si="40"/>
        <v>0</v>
      </c>
      <c r="L40" s="152">
        <f t="shared" si="40"/>
        <v>1775</v>
      </c>
      <c r="M40" s="152">
        <f t="shared" si="40"/>
        <v>75</v>
      </c>
      <c r="N40" s="152">
        <f t="shared" si="40"/>
        <v>0</v>
      </c>
      <c r="O40" s="152">
        <f t="shared" si="40"/>
        <v>0</v>
      </c>
      <c r="P40" s="152">
        <f t="shared" si="40"/>
        <v>1700</v>
      </c>
      <c r="Q40" s="152">
        <f t="shared" si="40"/>
        <v>0</v>
      </c>
      <c r="R40" s="152">
        <f t="shared" si="40"/>
        <v>0</v>
      </c>
      <c r="S40" s="152">
        <f t="shared" si="40"/>
        <v>0</v>
      </c>
      <c r="T40" s="152">
        <f t="shared" si="40"/>
        <v>0</v>
      </c>
      <c r="U40" s="152">
        <f t="shared" si="40"/>
        <v>0</v>
      </c>
      <c r="V40" s="152">
        <f t="shared" si="40"/>
        <v>0</v>
      </c>
      <c r="W40" s="152">
        <f t="shared" si="40"/>
        <v>6113</v>
      </c>
      <c r="X40" s="152">
        <f t="shared" si="40"/>
        <v>0</v>
      </c>
      <c r="Y40" s="152">
        <f t="shared" si="40"/>
        <v>0</v>
      </c>
      <c r="Z40" s="152">
        <f t="shared" si="40"/>
        <v>0</v>
      </c>
      <c r="AA40" s="152">
        <f t="shared" si="40"/>
        <v>0</v>
      </c>
      <c r="AB40" s="152">
        <f t="shared" si="40"/>
        <v>3487</v>
      </c>
      <c r="AC40" s="152">
        <f t="shared" si="40"/>
        <v>106</v>
      </c>
      <c r="AD40" s="152">
        <f t="shared" si="40"/>
        <v>0</v>
      </c>
      <c r="AE40" s="152">
        <f t="shared" si="40"/>
        <v>25</v>
      </c>
      <c r="AF40" s="152">
        <f t="shared" si="40"/>
        <v>0</v>
      </c>
      <c r="AG40" s="152">
        <f t="shared" si="40"/>
        <v>0</v>
      </c>
      <c r="AH40" s="152">
        <f t="shared" si="40"/>
        <v>2235</v>
      </c>
      <c r="AI40" s="152">
        <f t="shared" si="40"/>
        <v>260</v>
      </c>
      <c r="AJ40" s="152">
        <f t="shared" si="40"/>
        <v>4000</v>
      </c>
      <c r="AK40" s="152">
        <f t="shared" si="40"/>
        <v>0</v>
      </c>
      <c r="AL40" s="152">
        <f t="shared" si="40"/>
        <v>226</v>
      </c>
      <c r="AM40" s="152">
        <f t="shared" si="40"/>
        <v>0</v>
      </c>
      <c r="AN40" s="152">
        <f t="shared" si="40"/>
        <v>226</v>
      </c>
      <c r="AO40" s="152">
        <f t="shared" si="40"/>
        <v>0</v>
      </c>
      <c r="AP40" s="152">
        <f t="shared" si="40"/>
        <v>421</v>
      </c>
      <c r="AQ40" s="174">
        <f t="shared" si="40"/>
        <v>0</v>
      </c>
      <c r="AR40" s="151"/>
      <c r="AS40" s="150" t="s">
        <v>325</v>
      </c>
      <c r="AT40" s="151"/>
      <c r="AU40" s="122">
        <f t="shared" si="39"/>
        <v>24913</v>
      </c>
      <c r="AV40" s="129"/>
      <c r="AW40" s="158">
        <f aca="true" t="shared" si="41" ref="AW40:CB40">SUM(AW41:AW55)</f>
        <v>11116</v>
      </c>
      <c r="AX40" s="158">
        <f t="shared" si="41"/>
        <v>8957</v>
      </c>
      <c r="AY40" s="158">
        <f t="shared" si="41"/>
        <v>140</v>
      </c>
      <c r="AZ40" s="158">
        <f t="shared" si="41"/>
        <v>0</v>
      </c>
      <c r="BA40" s="158">
        <f t="shared" si="41"/>
        <v>1487</v>
      </c>
      <c r="BB40" s="158">
        <f t="shared" si="41"/>
        <v>532</v>
      </c>
      <c r="BC40" s="158">
        <f t="shared" si="41"/>
        <v>0</v>
      </c>
      <c r="BD40" s="158">
        <f t="shared" si="41"/>
        <v>0</v>
      </c>
      <c r="BE40" s="158">
        <f t="shared" si="41"/>
        <v>1707</v>
      </c>
      <c r="BF40" s="158">
        <f t="shared" si="41"/>
        <v>45</v>
      </c>
      <c r="BG40" s="158">
        <f t="shared" si="41"/>
        <v>1</v>
      </c>
      <c r="BH40" s="158">
        <f t="shared" si="41"/>
        <v>122</v>
      </c>
      <c r="BI40" s="158">
        <f t="shared" si="41"/>
        <v>0</v>
      </c>
      <c r="BJ40" s="158">
        <f t="shared" si="41"/>
        <v>1539</v>
      </c>
      <c r="BK40" s="154">
        <f t="shared" si="41"/>
        <v>0</v>
      </c>
      <c r="BL40" s="152">
        <f t="shared" si="41"/>
        <v>3415</v>
      </c>
      <c r="BM40" s="158">
        <f t="shared" si="41"/>
        <v>850</v>
      </c>
      <c r="BN40" s="158">
        <f t="shared" si="41"/>
        <v>200</v>
      </c>
      <c r="BO40" s="158">
        <f t="shared" si="41"/>
        <v>958</v>
      </c>
      <c r="BP40" s="158">
        <f t="shared" si="41"/>
        <v>1</v>
      </c>
      <c r="BQ40" s="158">
        <f t="shared" si="41"/>
        <v>666</v>
      </c>
      <c r="BR40" s="158">
        <f t="shared" si="41"/>
        <v>740</v>
      </c>
      <c r="BS40" s="158">
        <f t="shared" si="41"/>
        <v>4325</v>
      </c>
      <c r="BT40" s="158">
        <f t="shared" si="41"/>
        <v>4</v>
      </c>
      <c r="BU40" s="158">
        <f t="shared" si="41"/>
        <v>49</v>
      </c>
      <c r="BV40" s="158">
        <f t="shared" si="41"/>
        <v>6</v>
      </c>
      <c r="BW40" s="158">
        <f t="shared" si="41"/>
        <v>0</v>
      </c>
      <c r="BX40" s="158">
        <f t="shared" si="41"/>
        <v>34</v>
      </c>
      <c r="BY40" s="158">
        <f t="shared" si="41"/>
        <v>17</v>
      </c>
      <c r="BZ40" s="158">
        <f t="shared" si="41"/>
        <v>4215</v>
      </c>
      <c r="CA40" s="158">
        <f t="shared" si="41"/>
        <v>587</v>
      </c>
      <c r="CB40" s="158">
        <f t="shared" si="41"/>
        <v>580</v>
      </c>
      <c r="CC40" s="158">
        <f aca="true" t="shared" si="42" ref="CC40:CZ40">SUM(CC41:CC55)</f>
        <v>0</v>
      </c>
      <c r="CD40" s="158">
        <f t="shared" si="42"/>
        <v>6</v>
      </c>
      <c r="CE40" s="158">
        <f t="shared" si="42"/>
        <v>1</v>
      </c>
      <c r="CF40" s="158">
        <f t="shared" si="42"/>
        <v>0</v>
      </c>
      <c r="CG40" s="158">
        <f t="shared" si="42"/>
        <v>0</v>
      </c>
      <c r="CH40" s="158">
        <f t="shared" si="42"/>
        <v>0</v>
      </c>
      <c r="CI40" s="158">
        <f t="shared" si="42"/>
        <v>0</v>
      </c>
      <c r="CJ40" s="158">
        <f t="shared" si="42"/>
        <v>1</v>
      </c>
      <c r="CK40" s="158">
        <f t="shared" si="42"/>
        <v>1</v>
      </c>
      <c r="CL40" s="158">
        <f t="shared" si="42"/>
        <v>0</v>
      </c>
      <c r="CM40" s="158">
        <f t="shared" si="42"/>
        <v>700</v>
      </c>
      <c r="CN40" s="158">
        <f t="shared" si="42"/>
        <v>0</v>
      </c>
      <c r="CO40" s="158">
        <f t="shared" si="42"/>
        <v>18</v>
      </c>
      <c r="CP40" s="158">
        <f t="shared" si="42"/>
        <v>0</v>
      </c>
      <c r="CQ40" s="158">
        <f t="shared" si="42"/>
        <v>18</v>
      </c>
      <c r="CR40" s="158">
        <f t="shared" si="42"/>
        <v>0</v>
      </c>
      <c r="CS40" s="158">
        <f t="shared" si="42"/>
        <v>0</v>
      </c>
      <c r="CT40" s="158">
        <f t="shared" si="42"/>
        <v>0</v>
      </c>
      <c r="CU40" s="158">
        <f t="shared" si="42"/>
        <v>2760</v>
      </c>
      <c r="CV40" s="158">
        <f t="shared" si="42"/>
        <v>2760</v>
      </c>
      <c r="CW40" s="158">
        <f t="shared" si="42"/>
        <v>0</v>
      </c>
      <c r="CX40" s="158">
        <f t="shared" si="42"/>
        <v>284</v>
      </c>
      <c r="CY40" s="158">
        <f t="shared" si="42"/>
        <v>0</v>
      </c>
      <c r="CZ40" s="158">
        <f t="shared" si="42"/>
        <v>0</v>
      </c>
    </row>
    <row r="41" spans="1:104" ht="12.75" customHeight="1" thickBot="1" thickTop="1">
      <c r="A41" s="132"/>
      <c r="B41" s="175" t="s">
        <v>326</v>
      </c>
      <c r="C41" s="133">
        <f t="shared" si="38"/>
        <v>0</v>
      </c>
      <c r="D41" s="588"/>
      <c r="E41" s="134">
        <f aca="true" t="shared" si="43" ref="E41:E55">SUM(F41:K41)</f>
        <v>0</v>
      </c>
      <c r="F41" s="149"/>
      <c r="G41" s="135"/>
      <c r="H41" s="135"/>
      <c r="I41" s="135"/>
      <c r="J41" s="135"/>
      <c r="K41" s="144"/>
      <c r="L41" s="136">
        <f aca="true" t="shared" si="44" ref="L41:L55">SUM(M41:V41)</f>
        <v>0</v>
      </c>
      <c r="M41" s="149"/>
      <c r="N41" s="135"/>
      <c r="O41" s="135"/>
      <c r="P41" s="135"/>
      <c r="Q41" s="135"/>
      <c r="R41" s="135"/>
      <c r="S41" s="135"/>
      <c r="T41" s="137"/>
      <c r="U41" s="135"/>
      <c r="V41" s="144"/>
      <c r="W41" s="134">
        <f aca="true" t="shared" si="45" ref="W41:W55">SUM(X41:AI41)</f>
        <v>0</v>
      </c>
      <c r="X41" s="149"/>
      <c r="Y41" s="135"/>
      <c r="Z41" s="135"/>
      <c r="AA41" s="135"/>
      <c r="AB41" s="135"/>
      <c r="AC41" s="135"/>
      <c r="AD41" s="135"/>
      <c r="AE41" s="135"/>
      <c r="AF41" s="135"/>
      <c r="AG41" s="135"/>
      <c r="AH41" s="135">
        <f>příjmy!B151</f>
        <v>0</v>
      </c>
      <c r="AI41" s="144"/>
      <c r="AJ41" s="176"/>
      <c r="AK41" s="139"/>
      <c r="AL41" s="136">
        <f aca="true" t="shared" si="46" ref="AL41:AL55">SUM(AM41:AO41)</f>
        <v>0</v>
      </c>
      <c r="AM41" s="149"/>
      <c r="AN41" s="135"/>
      <c r="AO41" s="144"/>
      <c r="AP41" s="177"/>
      <c r="AQ41" s="141"/>
      <c r="AR41" s="7"/>
      <c r="AS41" s="132"/>
      <c r="AT41" s="8" t="s">
        <v>326</v>
      </c>
      <c r="AU41" s="133">
        <f t="shared" si="39"/>
        <v>292</v>
      </c>
      <c r="AV41" s="8"/>
      <c r="AW41" s="142">
        <f aca="true" t="shared" si="47" ref="AW41:AW55">SUM(AX41:BD41)</f>
        <v>0</v>
      </c>
      <c r="AX41" s="149">
        <f>výdaje!B16</f>
        <v>0</v>
      </c>
      <c r="AY41" s="135"/>
      <c r="AZ41" s="135"/>
      <c r="BA41" s="135">
        <f>výdaje!B78</f>
        <v>0</v>
      </c>
      <c r="BB41" s="135">
        <f>výdaje!B106</f>
        <v>0</v>
      </c>
      <c r="BC41" s="135"/>
      <c r="BD41" s="144"/>
      <c r="BE41" s="143">
        <f aca="true" t="shared" si="48" ref="BE41:BE55">SUM(BF41:BJ41)</f>
        <v>220</v>
      </c>
      <c r="BF41" s="149">
        <f>výdaje!B133</f>
        <v>0</v>
      </c>
      <c r="BG41" s="135">
        <f>výdaje!B183</f>
        <v>0</v>
      </c>
      <c r="BH41" s="135">
        <f>výdaje!B160</f>
        <v>20</v>
      </c>
      <c r="BI41" s="135"/>
      <c r="BJ41" s="144">
        <f>výdaje!B210</f>
        <v>200</v>
      </c>
      <c r="BK41" s="139"/>
      <c r="BL41" s="145">
        <f aca="true" t="shared" si="49" ref="BL41:BL55">SUM(BM41:BR41)</f>
        <v>25</v>
      </c>
      <c r="BM41" s="149"/>
      <c r="BN41" s="135"/>
      <c r="BO41" s="178">
        <f>výdaje!B289</f>
        <v>0</v>
      </c>
      <c r="BP41" s="135">
        <f>výdaje!B302</f>
        <v>0</v>
      </c>
      <c r="BQ41" s="135">
        <f>výdaje!B315</f>
        <v>25</v>
      </c>
      <c r="BR41" s="144"/>
      <c r="BS41" s="143">
        <f aca="true" t="shared" si="50" ref="BS41:BS55">SUM(BT41:BZ41)</f>
        <v>47</v>
      </c>
      <c r="BT41" s="149"/>
      <c r="BU41" s="135">
        <f>výdaje!B358</f>
        <v>10</v>
      </c>
      <c r="BV41" s="135"/>
      <c r="BW41" s="135"/>
      <c r="BX41" s="135">
        <f>výdaje!B390</f>
        <v>2</v>
      </c>
      <c r="BY41" s="135">
        <f>výdaje!B405</f>
        <v>0</v>
      </c>
      <c r="BZ41" s="144">
        <f>výdaje!B435</f>
        <v>35</v>
      </c>
      <c r="CA41" s="143">
        <f aca="true" t="shared" si="51" ref="CA41:CA55">SUM(CB41:CF41)</f>
        <v>0</v>
      </c>
      <c r="CB41" s="149">
        <f>výdaje!B476</f>
        <v>0</v>
      </c>
      <c r="CC41" s="135">
        <f>výdaje!B495</f>
        <v>0</v>
      </c>
      <c r="CD41" s="135">
        <f>výdaje!B507</f>
        <v>0</v>
      </c>
      <c r="CE41" s="135"/>
      <c r="CF41" s="144"/>
      <c r="CG41" s="143">
        <f aca="true" t="shared" si="52" ref="CG41:CG55">SUM(CH41:CI41)</f>
        <v>0</v>
      </c>
      <c r="CH41" s="149"/>
      <c r="CI41" s="144"/>
      <c r="CJ41" s="139">
        <f aca="true" t="shared" si="53" ref="CJ41:CJ55">SUM(CK41:CL41)</f>
        <v>0</v>
      </c>
      <c r="CK41" s="149"/>
      <c r="CL41" s="144"/>
      <c r="CM41" s="139"/>
      <c r="CN41" s="139"/>
      <c r="CO41" s="139">
        <f aca="true" t="shared" si="54" ref="CO41:CO55">SUM(CP41:CQ41)</f>
        <v>0</v>
      </c>
      <c r="CP41" s="149"/>
      <c r="CQ41" s="144"/>
      <c r="CR41" s="139"/>
      <c r="CS41" s="139"/>
      <c r="CT41" s="139"/>
      <c r="CU41" s="143">
        <f aca="true" t="shared" si="55" ref="CU41:CU55">CV41+CW41</f>
        <v>0</v>
      </c>
      <c r="CV41" s="149"/>
      <c r="CW41" s="135"/>
      <c r="CX41" s="148"/>
      <c r="CY41" s="148">
        <f>výdaje!B638</f>
        <v>0</v>
      </c>
      <c r="CZ41" s="141"/>
    </row>
    <row r="42" spans="1:104" ht="12.75" customHeight="1" thickBot="1" thickTop="1">
      <c r="A42" s="132"/>
      <c r="B42" s="8" t="s">
        <v>294</v>
      </c>
      <c r="C42" s="133">
        <f t="shared" si="38"/>
        <v>2509</v>
      </c>
      <c r="D42" s="588"/>
      <c r="E42" s="134">
        <f t="shared" si="43"/>
        <v>0</v>
      </c>
      <c r="F42" s="135"/>
      <c r="G42" s="135"/>
      <c r="H42" s="135"/>
      <c r="I42" s="135"/>
      <c r="J42" s="135"/>
      <c r="K42" s="135"/>
      <c r="L42" s="136">
        <f t="shared" si="44"/>
        <v>60</v>
      </c>
      <c r="M42" s="135">
        <f>příjmy!B29</f>
        <v>60</v>
      </c>
      <c r="N42" s="135"/>
      <c r="O42" s="135"/>
      <c r="P42" s="135"/>
      <c r="Q42" s="135"/>
      <c r="R42" s="135"/>
      <c r="S42" s="135"/>
      <c r="T42" s="137"/>
      <c r="U42" s="135"/>
      <c r="V42" s="135"/>
      <c r="W42" s="136">
        <f t="shared" si="45"/>
        <v>2449</v>
      </c>
      <c r="X42" s="135">
        <f>příjmy!B76</f>
        <v>0</v>
      </c>
      <c r="Y42" s="135"/>
      <c r="Z42" s="135"/>
      <c r="AA42" s="135"/>
      <c r="AB42" s="135">
        <f>příjmy!B104</f>
        <v>1764</v>
      </c>
      <c r="AC42" s="135">
        <f>příjmy!B115</f>
        <v>20</v>
      </c>
      <c r="AD42" s="135"/>
      <c r="AE42" s="135">
        <f>příjmy!B124</f>
        <v>0</v>
      </c>
      <c r="AF42" s="135"/>
      <c r="AG42" s="135">
        <f>příjmy!B137</f>
        <v>0</v>
      </c>
      <c r="AH42" s="135">
        <f>příjmy!B182+příjmy!B152</f>
        <v>665</v>
      </c>
      <c r="AI42" s="135"/>
      <c r="AJ42" s="138"/>
      <c r="AK42" s="139"/>
      <c r="AL42" s="136">
        <f t="shared" si="46"/>
        <v>0</v>
      </c>
      <c r="AM42" s="135"/>
      <c r="AN42" s="135">
        <f>příjmy!B233</f>
        <v>0</v>
      </c>
      <c r="AO42" s="140"/>
      <c r="AP42" s="139">
        <f>příjmy!B284</f>
        <v>0</v>
      </c>
      <c r="AQ42" s="141"/>
      <c r="AR42" s="7"/>
      <c r="AS42" s="132"/>
      <c r="AT42" s="8" t="s">
        <v>294</v>
      </c>
      <c r="AU42" s="133">
        <f t="shared" si="39"/>
        <v>2812</v>
      </c>
      <c r="AV42" s="8"/>
      <c r="AW42" s="142">
        <f t="shared" si="47"/>
        <v>679</v>
      </c>
      <c r="AX42" s="135">
        <f>výdaje!B17</f>
        <v>506</v>
      </c>
      <c r="AY42" s="135">
        <f>výdaje!B44+výdaje!B45</f>
        <v>0</v>
      </c>
      <c r="AZ42" s="135"/>
      <c r="BA42" s="135">
        <f>výdaje!B79</f>
        <v>127</v>
      </c>
      <c r="BB42" s="135">
        <f>výdaje!B107</f>
        <v>46</v>
      </c>
      <c r="BC42" s="135"/>
      <c r="BD42" s="144"/>
      <c r="BE42" s="143">
        <f t="shared" si="48"/>
        <v>24</v>
      </c>
      <c r="BF42" s="149">
        <f>výdaje!B134</f>
        <v>3</v>
      </c>
      <c r="BG42" s="135">
        <f>výdaje!B184</f>
        <v>1</v>
      </c>
      <c r="BH42" s="135">
        <f>výdaje!B161+výdaje!B162</f>
        <v>0</v>
      </c>
      <c r="BI42" s="135"/>
      <c r="BJ42" s="144">
        <f>výdaje!B211+výdaje!B212</f>
        <v>20</v>
      </c>
      <c r="BK42" s="139"/>
      <c r="BL42" s="145">
        <f t="shared" si="49"/>
        <v>610</v>
      </c>
      <c r="BM42" s="149">
        <f>výdaje!B254</f>
        <v>540</v>
      </c>
      <c r="BN42" s="135">
        <f>výdaje!B270</f>
        <v>0</v>
      </c>
      <c r="BO42" s="135">
        <f>výdaje!B290</f>
        <v>70</v>
      </c>
      <c r="BP42" s="135">
        <f>výdaje!B303</f>
        <v>0</v>
      </c>
      <c r="BQ42" s="135">
        <f>výdaje!B316</f>
        <v>0</v>
      </c>
      <c r="BR42" s="144">
        <f>výdaje!B327</f>
        <v>0</v>
      </c>
      <c r="BS42" s="143">
        <f t="shared" si="50"/>
        <v>249</v>
      </c>
      <c r="BT42" s="149">
        <f>výdaje!B340</f>
        <v>4</v>
      </c>
      <c r="BU42" s="135">
        <f>výdaje!B359</f>
        <v>7</v>
      </c>
      <c r="BV42" s="135">
        <f>výdaje!B376</f>
        <v>6</v>
      </c>
      <c r="BW42" s="135"/>
      <c r="BX42" s="135">
        <f>výdaje!B391</f>
        <v>2</v>
      </c>
      <c r="BY42" s="135">
        <f>výdaje!B406</f>
        <v>10</v>
      </c>
      <c r="BZ42" s="144">
        <f>výdaje!B436+výdaje!B437</f>
        <v>220</v>
      </c>
      <c r="CA42" s="143">
        <f t="shared" si="51"/>
        <v>150</v>
      </c>
      <c r="CB42" s="135">
        <f>výdaje!B477</f>
        <v>150</v>
      </c>
      <c r="CC42" s="135">
        <f>výdaje!B496</f>
        <v>0</v>
      </c>
      <c r="CD42" s="135">
        <f>výdaje!B508</f>
        <v>0</v>
      </c>
      <c r="CE42" s="135"/>
      <c r="CF42" s="135"/>
      <c r="CG42" s="143">
        <f t="shared" si="52"/>
        <v>0</v>
      </c>
      <c r="CH42" s="135">
        <f>výdaje!B585</f>
        <v>0</v>
      </c>
      <c r="CI42" s="135"/>
      <c r="CJ42" s="139">
        <f t="shared" si="53"/>
        <v>0</v>
      </c>
      <c r="CK42" s="149"/>
      <c r="CL42" s="144">
        <f>výdaje!B548</f>
        <v>0</v>
      </c>
      <c r="CM42" s="139"/>
      <c r="CN42" s="139"/>
      <c r="CO42" s="139">
        <f t="shared" si="54"/>
        <v>0</v>
      </c>
      <c r="CP42" s="149"/>
      <c r="CQ42" s="144">
        <f>výdaje!B601+výdaje!B610</f>
        <v>0</v>
      </c>
      <c r="CR42" s="139"/>
      <c r="CS42" s="139">
        <f>výdaje!B692</f>
        <v>0</v>
      </c>
      <c r="CT42" s="139"/>
      <c r="CU42" s="143">
        <f t="shared" si="55"/>
        <v>1100</v>
      </c>
      <c r="CV42" s="135">
        <f>výdaje!B745</f>
        <v>1100</v>
      </c>
      <c r="CW42" s="135"/>
      <c r="CX42" s="148"/>
      <c r="CY42" s="148">
        <f>výdaje!B639</f>
        <v>0</v>
      </c>
      <c r="CZ42" s="141"/>
    </row>
    <row r="43" spans="1:104" ht="12" customHeight="1" thickBot="1" thickTop="1">
      <c r="A43" s="132"/>
      <c r="B43" s="8" t="s">
        <v>327</v>
      </c>
      <c r="C43" s="133">
        <f t="shared" si="38"/>
        <v>1194</v>
      </c>
      <c r="D43" s="588"/>
      <c r="E43" s="134">
        <f t="shared" si="43"/>
        <v>0</v>
      </c>
      <c r="F43" s="149"/>
      <c r="G43" s="135"/>
      <c r="H43" s="135"/>
      <c r="I43" s="135"/>
      <c r="J43" s="135"/>
      <c r="K43" s="144"/>
      <c r="L43" s="136">
        <f t="shared" si="44"/>
        <v>0</v>
      </c>
      <c r="M43" s="149">
        <f>příjmy!B30</f>
        <v>0</v>
      </c>
      <c r="N43" s="135"/>
      <c r="O43" s="135"/>
      <c r="P43" s="135"/>
      <c r="Q43" s="179"/>
      <c r="R43" s="135"/>
      <c r="S43" s="135"/>
      <c r="T43" s="137"/>
      <c r="U43" s="135"/>
      <c r="V43" s="135"/>
      <c r="W43" s="136">
        <f t="shared" si="45"/>
        <v>1194</v>
      </c>
      <c r="X43" s="149">
        <f>příjmy!B77</f>
        <v>0</v>
      </c>
      <c r="Y43" s="135"/>
      <c r="Z43" s="135"/>
      <c r="AA43" s="135"/>
      <c r="AB43" s="135">
        <f>příjmy!B105</f>
        <v>662</v>
      </c>
      <c r="AC43" s="135"/>
      <c r="AD43" s="135"/>
      <c r="AE43" s="135">
        <f>příjmy!B125</f>
        <v>0</v>
      </c>
      <c r="AF43" s="135"/>
      <c r="AG43" s="135"/>
      <c r="AH43" s="135">
        <f>příjmy!B153</f>
        <v>532</v>
      </c>
      <c r="AI43" s="135"/>
      <c r="AJ43" s="138"/>
      <c r="AK43" s="139"/>
      <c r="AL43" s="136">
        <f t="shared" si="46"/>
        <v>0</v>
      </c>
      <c r="AM43" s="149"/>
      <c r="AN43" s="135"/>
      <c r="AO43" s="180"/>
      <c r="AP43" s="139">
        <f>příjmy!B285</f>
        <v>0</v>
      </c>
      <c r="AQ43" s="141"/>
      <c r="AR43" s="7"/>
      <c r="AS43" s="132"/>
      <c r="AT43" s="8" t="s">
        <v>327</v>
      </c>
      <c r="AU43" s="133">
        <f t="shared" si="39"/>
        <v>840</v>
      </c>
      <c r="AV43" s="8"/>
      <c r="AW43" s="142">
        <f t="shared" si="47"/>
        <v>0</v>
      </c>
      <c r="AX43" s="149"/>
      <c r="AY43" s="135"/>
      <c r="AZ43" s="135"/>
      <c r="BA43" s="135"/>
      <c r="BB43" s="135"/>
      <c r="BC43" s="135"/>
      <c r="BD43" s="144"/>
      <c r="BE43" s="143">
        <f t="shared" si="48"/>
        <v>35</v>
      </c>
      <c r="BF43" s="149"/>
      <c r="BG43" s="135"/>
      <c r="BH43" s="135"/>
      <c r="BI43" s="135"/>
      <c r="BJ43" s="144">
        <f>výdaje!B213</f>
        <v>35</v>
      </c>
      <c r="BK43" s="139">
        <f>výdaje!B237</f>
        <v>0</v>
      </c>
      <c r="BL43" s="145">
        <f t="shared" si="49"/>
        <v>560</v>
      </c>
      <c r="BM43" s="149">
        <f>výdaje!B255</f>
        <v>140</v>
      </c>
      <c r="BN43" s="135">
        <f>výdaje!B271</f>
        <v>0</v>
      </c>
      <c r="BO43" s="135">
        <f>výdaje!B291</f>
        <v>40</v>
      </c>
      <c r="BP43" s="135"/>
      <c r="BQ43" s="135"/>
      <c r="BR43" s="144">
        <f>výdaje!B328</f>
        <v>380</v>
      </c>
      <c r="BS43" s="143">
        <f t="shared" si="50"/>
        <v>25</v>
      </c>
      <c r="BT43" s="149">
        <f>výdaje!B341</f>
        <v>0</v>
      </c>
      <c r="BU43" s="135"/>
      <c r="BV43" s="135"/>
      <c r="BW43" s="135"/>
      <c r="BX43" s="135"/>
      <c r="BY43" s="135"/>
      <c r="BZ43" s="144">
        <f>výdaje!B438</f>
        <v>25</v>
      </c>
      <c r="CA43" s="143">
        <f t="shared" si="51"/>
        <v>100</v>
      </c>
      <c r="CB43" s="149">
        <f>výdaje!B479</f>
        <v>100</v>
      </c>
      <c r="CC43" s="135"/>
      <c r="CD43" s="135"/>
      <c r="CE43" s="135"/>
      <c r="CF43" s="144"/>
      <c r="CG43" s="143">
        <f t="shared" si="52"/>
        <v>0</v>
      </c>
      <c r="CH43" s="149"/>
      <c r="CI43" s="144"/>
      <c r="CJ43" s="139">
        <f t="shared" si="53"/>
        <v>0</v>
      </c>
      <c r="CK43" s="149"/>
      <c r="CL43" s="144"/>
      <c r="CM43" s="139"/>
      <c r="CN43" s="139"/>
      <c r="CO43" s="139">
        <f t="shared" si="54"/>
        <v>0</v>
      </c>
      <c r="CP43" s="149"/>
      <c r="CQ43" s="144"/>
      <c r="CR43" s="139"/>
      <c r="CS43" s="139"/>
      <c r="CT43" s="139"/>
      <c r="CU43" s="143">
        <f t="shared" si="55"/>
        <v>120</v>
      </c>
      <c r="CV43" s="149">
        <f>výdaje!B776</f>
        <v>120</v>
      </c>
      <c r="CW43" s="135"/>
      <c r="CX43" s="148"/>
      <c r="CY43" s="148"/>
      <c r="CZ43" s="141"/>
    </row>
    <row r="44" spans="1:104" ht="12" customHeight="1" thickBot="1" thickTop="1">
      <c r="A44" s="132"/>
      <c r="B44" s="8" t="s">
        <v>328</v>
      </c>
      <c r="C44" s="133">
        <f t="shared" si="38"/>
        <v>1125</v>
      </c>
      <c r="D44" s="588"/>
      <c r="E44" s="134">
        <f t="shared" si="43"/>
        <v>0</v>
      </c>
      <c r="F44" s="149"/>
      <c r="G44" s="135"/>
      <c r="H44" s="135"/>
      <c r="I44" s="135"/>
      <c r="J44" s="135"/>
      <c r="K44" s="144"/>
      <c r="L44" s="136">
        <f t="shared" si="44"/>
        <v>15</v>
      </c>
      <c r="M44" s="149">
        <f>příjmy!B31</f>
        <v>15</v>
      </c>
      <c r="N44" s="135"/>
      <c r="O44" s="135"/>
      <c r="P44" s="135"/>
      <c r="Q44" s="179"/>
      <c r="R44" s="135"/>
      <c r="S44" s="135"/>
      <c r="T44" s="137"/>
      <c r="U44" s="135"/>
      <c r="V44" s="135"/>
      <c r="W44" s="136">
        <f t="shared" si="45"/>
        <v>884</v>
      </c>
      <c r="X44" s="149">
        <f>příjmy!B78</f>
        <v>0</v>
      </c>
      <c r="Y44" s="135"/>
      <c r="Z44" s="135"/>
      <c r="AA44" s="135"/>
      <c r="AB44" s="135">
        <f>příjmy!B106</f>
        <v>229</v>
      </c>
      <c r="AC44" s="135">
        <f>příjmy!B116</f>
        <v>86</v>
      </c>
      <c r="AD44" s="135"/>
      <c r="AE44" s="135">
        <f>příjmy!B126</f>
        <v>0</v>
      </c>
      <c r="AF44" s="135"/>
      <c r="AG44" s="135"/>
      <c r="AH44" s="135">
        <f>příjmy!B183+příjmy!B154</f>
        <v>569</v>
      </c>
      <c r="AI44" s="135"/>
      <c r="AJ44" s="138"/>
      <c r="AK44" s="139"/>
      <c r="AL44" s="136">
        <f t="shared" si="46"/>
        <v>226</v>
      </c>
      <c r="AM44" s="149"/>
      <c r="AN44" s="135">
        <f>příjmy!B232</f>
        <v>226</v>
      </c>
      <c r="AO44" s="180"/>
      <c r="AP44" s="139"/>
      <c r="AQ44" s="141"/>
      <c r="AR44" s="7"/>
      <c r="AS44" s="132"/>
      <c r="AT44" s="8" t="s">
        <v>328</v>
      </c>
      <c r="AU44" s="133">
        <f t="shared" si="39"/>
        <v>888</v>
      </c>
      <c r="AV44" s="8"/>
      <c r="AW44" s="142">
        <f t="shared" si="47"/>
        <v>0</v>
      </c>
      <c r="AX44" s="149"/>
      <c r="AY44" s="135">
        <f>výdaje!B46</f>
        <v>0</v>
      </c>
      <c r="AZ44" s="135"/>
      <c r="BA44" s="135">
        <f>výdaje!B80</f>
        <v>0</v>
      </c>
      <c r="BB44" s="135">
        <f>výdaje!B108</f>
        <v>0</v>
      </c>
      <c r="BC44" s="135"/>
      <c r="BD44" s="144"/>
      <c r="BE44" s="143">
        <f t="shared" si="48"/>
        <v>35</v>
      </c>
      <c r="BF44" s="135"/>
      <c r="BG44" s="135"/>
      <c r="BH44" s="135"/>
      <c r="BI44" s="135"/>
      <c r="BJ44" s="144">
        <f>výdaje!B214</f>
        <v>35</v>
      </c>
      <c r="BK44" s="139"/>
      <c r="BL44" s="145">
        <f t="shared" si="49"/>
        <v>508</v>
      </c>
      <c r="BM44" s="149">
        <f>výdaje!B256</f>
        <v>130</v>
      </c>
      <c r="BN44" s="135">
        <f>výdaje!B272</f>
        <v>0</v>
      </c>
      <c r="BO44" s="135">
        <f>výdaje!B292</f>
        <v>18</v>
      </c>
      <c r="BP44" s="135"/>
      <c r="BQ44" s="135"/>
      <c r="BR44" s="144">
        <f>výdaje!B329</f>
        <v>360</v>
      </c>
      <c r="BS44" s="143">
        <f t="shared" si="50"/>
        <v>25</v>
      </c>
      <c r="BT44" s="149">
        <f>výdaje!B342</f>
        <v>0</v>
      </c>
      <c r="BU44" s="135"/>
      <c r="BV44" s="135"/>
      <c r="BW44" s="135"/>
      <c r="BX44" s="135"/>
      <c r="BY44" s="135"/>
      <c r="BZ44" s="144">
        <f>výdaje!B439</f>
        <v>25</v>
      </c>
      <c r="CA44" s="143">
        <f t="shared" si="51"/>
        <v>320</v>
      </c>
      <c r="CB44" s="149">
        <f>výdaje!B480</f>
        <v>320</v>
      </c>
      <c r="CC44" s="135"/>
      <c r="CD44" s="135"/>
      <c r="CE44" s="135"/>
      <c r="CF44" s="144"/>
      <c r="CG44" s="143">
        <f t="shared" si="52"/>
        <v>0</v>
      </c>
      <c r="CH44" s="149"/>
      <c r="CI44" s="144"/>
      <c r="CJ44" s="139">
        <f t="shared" si="53"/>
        <v>0</v>
      </c>
      <c r="CK44" s="149"/>
      <c r="CL44" s="144"/>
      <c r="CM44" s="139"/>
      <c r="CN44" s="139"/>
      <c r="CO44" s="139">
        <f t="shared" si="54"/>
        <v>0</v>
      </c>
      <c r="CP44" s="149"/>
      <c r="CQ44" s="144"/>
      <c r="CR44" s="139"/>
      <c r="CS44" s="139">
        <f>výdaje!B700</f>
        <v>0</v>
      </c>
      <c r="CT44" s="139"/>
      <c r="CU44" s="143">
        <f t="shared" si="55"/>
        <v>0</v>
      </c>
      <c r="CV44" s="149"/>
      <c r="CW44" s="135"/>
      <c r="CX44" s="148"/>
      <c r="CY44" s="148"/>
      <c r="CZ44" s="141"/>
    </row>
    <row r="45" spans="1:104" ht="12" customHeight="1" thickBot="1" thickTop="1">
      <c r="A45" s="132"/>
      <c r="B45" s="8" t="s">
        <v>329</v>
      </c>
      <c r="C45" s="133">
        <f t="shared" si="38"/>
        <v>0</v>
      </c>
      <c r="D45" s="588"/>
      <c r="E45" s="134">
        <f t="shared" si="43"/>
        <v>0</v>
      </c>
      <c r="F45" s="149"/>
      <c r="G45" s="135"/>
      <c r="H45" s="135"/>
      <c r="I45" s="135"/>
      <c r="J45" s="135"/>
      <c r="K45" s="144"/>
      <c r="L45" s="136">
        <f t="shared" si="44"/>
        <v>0</v>
      </c>
      <c r="M45" s="135">
        <f>příjmy!B32</f>
        <v>0</v>
      </c>
      <c r="N45" s="135"/>
      <c r="O45" s="135"/>
      <c r="P45" s="135"/>
      <c r="Q45" s="179"/>
      <c r="R45" s="135"/>
      <c r="S45" s="135"/>
      <c r="T45" s="137"/>
      <c r="U45" s="135"/>
      <c r="V45" s="135"/>
      <c r="W45" s="136">
        <f t="shared" si="45"/>
        <v>0</v>
      </c>
      <c r="X45" s="135">
        <f>příjmy!B79</f>
        <v>0</v>
      </c>
      <c r="Y45" s="135"/>
      <c r="Z45" s="135"/>
      <c r="AA45" s="135"/>
      <c r="AB45" s="135"/>
      <c r="AC45" s="135"/>
      <c r="AD45" s="135"/>
      <c r="AE45" s="135"/>
      <c r="AF45" s="135">
        <f>příjmy!B134</f>
        <v>0</v>
      </c>
      <c r="AG45" s="135"/>
      <c r="AH45" s="135">
        <f>příjmy!B156</f>
        <v>0</v>
      </c>
      <c r="AI45" s="135"/>
      <c r="AJ45" s="138"/>
      <c r="AK45" s="139"/>
      <c r="AL45" s="136">
        <f t="shared" si="46"/>
        <v>0</v>
      </c>
      <c r="AM45" s="135"/>
      <c r="AN45" s="135"/>
      <c r="AO45" s="140">
        <f>příjmy!B236</f>
        <v>0</v>
      </c>
      <c r="AP45" s="139"/>
      <c r="AQ45" s="141"/>
      <c r="AR45" s="7"/>
      <c r="AS45" s="132"/>
      <c r="AT45" s="8" t="s">
        <v>329</v>
      </c>
      <c r="AU45" s="133">
        <f t="shared" si="39"/>
        <v>7194</v>
      </c>
      <c r="AV45" s="8"/>
      <c r="AW45" s="142">
        <f t="shared" si="47"/>
        <v>5072</v>
      </c>
      <c r="AX45" s="135">
        <f>výdaje!B18</f>
        <v>3665</v>
      </c>
      <c r="AY45" s="135">
        <f>výdaje!B47</f>
        <v>120</v>
      </c>
      <c r="AZ45" s="135">
        <f>výdaje!B64</f>
        <v>0</v>
      </c>
      <c r="BA45" s="135">
        <f>výdaje!B81</f>
        <v>946</v>
      </c>
      <c r="BB45" s="135">
        <f>výdaje!B109</f>
        <v>341</v>
      </c>
      <c r="BC45" s="135"/>
      <c r="BD45" s="144"/>
      <c r="BE45" s="143">
        <f t="shared" si="48"/>
        <v>475</v>
      </c>
      <c r="BF45" s="135">
        <f>výdaje!B139</f>
        <v>40</v>
      </c>
      <c r="BG45" s="135">
        <f>výdaje!B185</f>
        <v>0</v>
      </c>
      <c r="BH45" s="135">
        <f>výdaje!B163</f>
        <v>35</v>
      </c>
      <c r="BI45" s="135"/>
      <c r="BJ45" s="144">
        <f>výdaje!B215</f>
        <v>400</v>
      </c>
      <c r="BK45" s="139"/>
      <c r="BL45" s="145">
        <f t="shared" si="49"/>
        <v>620</v>
      </c>
      <c r="BM45" s="135">
        <f>výdaje!B257</f>
        <v>40</v>
      </c>
      <c r="BN45" s="135">
        <f>výdaje!B273</f>
        <v>200</v>
      </c>
      <c r="BO45" s="135">
        <f>výdaje!B293</f>
        <v>80</v>
      </c>
      <c r="BP45" s="135"/>
      <c r="BQ45" s="135">
        <f>výdaje!B317</f>
        <v>300</v>
      </c>
      <c r="BR45" s="135"/>
      <c r="BS45" s="143">
        <f t="shared" si="50"/>
        <v>310</v>
      </c>
      <c r="BT45" s="135">
        <f>výdaje!B343</f>
        <v>0</v>
      </c>
      <c r="BU45" s="135">
        <f>výdaje!B360</f>
        <v>30</v>
      </c>
      <c r="BV45" s="135">
        <f>výdaje!B377</f>
        <v>0</v>
      </c>
      <c r="BW45" s="135"/>
      <c r="BX45" s="135">
        <f>výdaje!B392</f>
        <v>20</v>
      </c>
      <c r="BY45" s="135">
        <f>výdaje!B407</f>
        <v>0</v>
      </c>
      <c r="BZ45" s="135">
        <f>výdaje!B440</f>
        <v>260</v>
      </c>
      <c r="CA45" s="143">
        <f t="shared" si="51"/>
        <v>16</v>
      </c>
      <c r="CB45" s="135">
        <f>výdaje!B481</f>
        <v>10</v>
      </c>
      <c r="CC45" s="135">
        <f>výdaje!B497</f>
        <v>0</v>
      </c>
      <c r="CD45" s="135">
        <f>výdaje!B509</f>
        <v>5</v>
      </c>
      <c r="CE45" s="135">
        <f>výdaje!B532</f>
        <v>1</v>
      </c>
      <c r="CF45" s="135">
        <f>výdaje!B539</f>
        <v>0</v>
      </c>
      <c r="CG45" s="143">
        <f t="shared" si="52"/>
        <v>0</v>
      </c>
      <c r="CH45" s="135">
        <f>výdaje!B586</f>
        <v>0</v>
      </c>
      <c r="CI45" s="135"/>
      <c r="CJ45" s="139">
        <f t="shared" si="53"/>
        <v>1</v>
      </c>
      <c r="CK45" s="149">
        <f>výdaje!B547</f>
        <v>1</v>
      </c>
      <c r="CL45" s="144"/>
      <c r="CM45" s="139"/>
      <c r="CN45" s="139"/>
      <c r="CO45" s="139">
        <f t="shared" si="54"/>
        <v>0</v>
      </c>
      <c r="CP45" s="149"/>
      <c r="CQ45" s="144">
        <f>výdaje!B602</f>
        <v>0</v>
      </c>
      <c r="CR45" s="139"/>
      <c r="CS45" s="139"/>
      <c r="CT45" s="139"/>
      <c r="CU45" s="143">
        <f t="shared" si="55"/>
        <v>700</v>
      </c>
      <c r="CV45" s="135">
        <f>výdaje!B742+výdaje!B743</f>
        <v>700</v>
      </c>
      <c r="CW45" s="135"/>
      <c r="CX45" s="148"/>
      <c r="CY45" s="148">
        <f>výdaje!B640</f>
        <v>0</v>
      </c>
      <c r="CZ45" s="141"/>
    </row>
    <row r="46" spans="1:104" ht="12" customHeight="1" thickBot="1" thickTop="1">
      <c r="A46" s="132"/>
      <c r="B46" s="8" t="s">
        <v>330</v>
      </c>
      <c r="C46" s="133">
        <f t="shared" si="38"/>
        <v>2175</v>
      </c>
      <c r="D46" s="588"/>
      <c r="E46" s="134">
        <f t="shared" si="43"/>
        <v>0</v>
      </c>
      <c r="F46" s="149"/>
      <c r="G46" s="135"/>
      <c r="H46" s="135"/>
      <c r="I46" s="135"/>
      <c r="J46" s="135"/>
      <c r="K46" s="144"/>
      <c r="L46" s="136">
        <f t="shared" si="44"/>
        <v>1700</v>
      </c>
      <c r="M46" s="135">
        <f>příjmy!B33</f>
        <v>0</v>
      </c>
      <c r="N46" s="135"/>
      <c r="O46" s="135"/>
      <c r="P46" s="135">
        <f>příjmy!B46</f>
        <v>1700</v>
      </c>
      <c r="Q46" s="179"/>
      <c r="R46" s="135"/>
      <c r="S46" s="135"/>
      <c r="T46" s="137"/>
      <c r="U46" s="135"/>
      <c r="V46" s="135"/>
      <c r="W46" s="136">
        <f t="shared" si="45"/>
        <v>475</v>
      </c>
      <c r="X46" s="135">
        <f>příjmy!B80</f>
        <v>0</v>
      </c>
      <c r="Y46" s="135"/>
      <c r="Z46" s="135"/>
      <c r="AA46" s="135"/>
      <c r="AB46" s="135"/>
      <c r="AC46" s="135"/>
      <c r="AD46" s="135"/>
      <c r="AE46" s="135">
        <f>příjmy!B127</f>
        <v>25</v>
      </c>
      <c r="AF46" s="135"/>
      <c r="AG46" s="135">
        <f>příjmy!B169</f>
        <v>0</v>
      </c>
      <c r="AH46" s="135">
        <f>příjmy!B157+příjmy!B184</f>
        <v>450</v>
      </c>
      <c r="AI46" s="135"/>
      <c r="AJ46" s="138"/>
      <c r="AK46" s="139"/>
      <c r="AL46" s="136">
        <f t="shared" si="46"/>
        <v>0</v>
      </c>
      <c r="AM46" s="135"/>
      <c r="AN46" s="135"/>
      <c r="AO46" s="140"/>
      <c r="AP46" s="139"/>
      <c r="AQ46" s="141"/>
      <c r="AR46" s="7"/>
      <c r="AS46" s="132"/>
      <c r="AT46" s="8" t="s">
        <v>330</v>
      </c>
      <c r="AU46" s="133">
        <f t="shared" si="39"/>
        <v>3959</v>
      </c>
      <c r="AV46" s="8"/>
      <c r="AW46" s="142">
        <f t="shared" si="47"/>
        <v>301</v>
      </c>
      <c r="AX46" s="135">
        <f>výdaje!B19</f>
        <v>225</v>
      </c>
      <c r="AY46" s="135"/>
      <c r="AZ46" s="135"/>
      <c r="BA46" s="135">
        <f>výdaje!B82</f>
        <v>56</v>
      </c>
      <c r="BB46" s="135">
        <f>výdaje!B110</f>
        <v>20</v>
      </c>
      <c r="BC46" s="135"/>
      <c r="BD46" s="144"/>
      <c r="BE46" s="143">
        <f t="shared" si="48"/>
        <v>3</v>
      </c>
      <c r="BF46" s="135">
        <f>výdaje!B140</f>
        <v>0</v>
      </c>
      <c r="BG46" s="135">
        <f>výdaje!B186</f>
        <v>0</v>
      </c>
      <c r="BH46" s="135">
        <f>výdaje!B158</f>
        <v>0</v>
      </c>
      <c r="BI46" s="135"/>
      <c r="BJ46" s="144">
        <f>výdaje!B216</f>
        <v>3</v>
      </c>
      <c r="BK46" s="139"/>
      <c r="BL46" s="145">
        <f t="shared" si="49"/>
        <v>130</v>
      </c>
      <c r="BM46" s="135"/>
      <c r="BN46" s="135"/>
      <c r="BO46" s="135"/>
      <c r="BP46" s="135"/>
      <c r="BQ46" s="135">
        <f>výdaje!B318</f>
        <v>130</v>
      </c>
      <c r="BR46" s="135"/>
      <c r="BS46" s="143">
        <f t="shared" si="50"/>
        <v>3507</v>
      </c>
      <c r="BT46" s="135">
        <f>výdaje!B344</f>
        <v>0</v>
      </c>
      <c r="BU46" s="135"/>
      <c r="BV46" s="135">
        <f>výdaje!B378</f>
        <v>0</v>
      </c>
      <c r="BW46" s="135"/>
      <c r="BX46" s="135"/>
      <c r="BY46" s="135">
        <f>výdaje!B408</f>
        <v>7</v>
      </c>
      <c r="BZ46" s="135">
        <f>výdaje!B441</f>
        <v>3500</v>
      </c>
      <c r="CA46" s="143">
        <f t="shared" si="51"/>
        <v>0</v>
      </c>
      <c r="CB46" s="135"/>
      <c r="CC46" s="135"/>
      <c r="CD46" s="135"/>
      <c r="CE46" s="135"/>
      <c r="CF46" s="135"/>
      <c r="CG46" s="143">
        <f t="shared" si="52"/>
        <v>0</v>
      </c>
      <c r="CH46" s="135"/>
      <c r="CI46" s="135"/>
      <c r="CJ46" s="139">
        <f t="shared" si="53"/>
        <v>0</v>
      </c>
      <c r="CK46" s="149"/>
      <c r="CL46" s="144"/>
      <c r="CM46" s="139"/>
      <c r="CN46" s="139"/>
      <c r="CO46" s="139">
        <f t="shared" si="54"/>
        <v>18</v>
      </c>
      <c r="CP46" s="149"/>
      <c r="CQ46" s="144">
        <f>výdaje!B603</f>
        <v>18</v>
      </c>
      <c r="CR46" s="139"/>
      <c r="CS46" s="139"/>
      <c r="CT46" s="139"/>
      <c r="CU46" s="143">
        <f t="shared" si="55"/>
        <v>0</v>
      </c>
      <c r="CV46" s="135"/>
      <c r="CW46" s="135"/>
      <c r="CX46" s="148"/>
      <c r="CY46" s="148">
        <f>výdaje!B641</f>
        <v>0</v>
      </c>
      <c r="CZ46" s="141"/>
    </row>
    <row r="47" spans="1:104" ht="12" customHeight="1" thickBot="1" thickTop="1">
      <c r="A47" s="132"/>
      <c r="B47" s="8" t="s">
        <v>331</v>
      </c>
      <c r="C47" s="133">
        <f t="shared" si="38"/>
        <v>0</v>
      </c>
      <c r="D47" s="588"/>
      <c r="E47" s="134">
        <f t="shared" si="43"/>
        <v>0</v>
      </c>
      <c r="F47" s="149"/>
      <c r="G47" s="135"/>
      <c r="H47" s="135"/>
      <c r="I47" s="135"/>
      <c r="J47" s="135"/>
      <c r="K47" s="144"/>
      <c r="L47" s="136">
        <f t="shared" si="44"/>
        <v>0</v>
      </c>
      <c r="M47" s="135"/>
      <c r="N47" s="135"/>
      <c r="O47" s="135"/>
      <c r="P47" s="135"/>
      <c r="Q47" s="179"/>
      <c r="R47" s="135"/>
      <c r="S47" s="135"/>
      <c r="T47" s="137"/>
      <c r="U47" s="135"/>
      <c r="V47" s="135"/>
      <c r="W47" s="136">
        <f t="shared" si="45"/>
        <v>0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8"/>
      <c r="AK47" s="139"/>
      <c r="AL47" s="136">
        <f t="shared" si="46"/>
        <v>0</v>
      </c>
      <c r="AM47" s="135"/>
      <c r="AN47" s="135"/>
      <c r="AO47" s="140"/>
      <c r="AP47" s="139"/>
      <c r="AQ47" s="141"/>
      <c r="AR47" s="7"/>
      <c r="AS47" s="132"/>
      <c r="AT47" s="8" t="s">
        <v>331</v>
      </c>
      <c r="AU47" s="133">
        <f t="shared" si="39"/>
        <v>1097</v>
      </c>
      <c r="AV47" s="8"/>
      <c r="AW47" s="142">
        <f t="shared" si="47"/>
        <v>0</v>
      </c>
      <c r="AX47" s="135"/>
      <c r="AY47" s="135">
        <f>výdaje!B48</f>
        <v>0</v>
      </c>
      <c r="AZ47" s="135"/>
      <c r="BA47" s="135">
        <f>výdaje!B83</f>
        <v>0</v>
      </c>
      <c r="BB47" s="135">
        <f>výdaje!B111</f>
        <v>0</v>
      </c>
      <c r="BC47" s="135"/>
      <c r="BD47" s="144"/>
      <c r="BE47" s="143">
        <f t="shared" si="48"/>
        <v>302</v>
      </c>
      <c r="BF47" s="135"/>
      <c r="BG47" s="135">
        <f>výdaje!B187</f>
        <v>0</v>
      </c>
      <c r="BH47" s="135">
        <f>výdaje!B159</f>
        <v>12</v>
      </c>
      <c r="BI47" s="135"/>
      <c r="BJ47" s="144">
        <f>výdaje!B217</f>
        <v>290</v>
      </c>
      <c r="BK47" s="139"/>
      <c r="BL47" s="145">
        <f t="shared" si="49"/>
        <v>760</v>
      </c>
      <c r="BM47" s="135"/>
      <c r="BN47" s="135"/>
      <c r="BO47" s="135">
        <f>výdaje!B294</f>
        <v>700</v>
      </c>
      <c r="BP47" s="135"/>
      <c r="BQ47" s="135">
        <f>výdaje!B319</f>
        <v>60</v>
      </c>
      <c r="BR47" s="135"/>
      <c r="BS47" s="143">
        <f t="shared" si="50"/>
        <v>35</v>
      </c>
      <c r="BT47" s="135"/>
      <c r="BU47" s="135">
        <f>výdaje!B361</f>
        <v>0</v>
      </c>
      <c r="BV47" s="135"/>
      <c r="BW47" s="135"/>
      <c r="BX47" s="135">
        <f>výdaje!B393</f>
        <v>5</v>
      </c>
      <c r="BY47" s="135"/>
      <c r="BZ47" s="135">
        <f>výdaje!B442</f>
        <v>30</v>
      </c>
      <c r="CA47" s="143">
        <f t="shared" si="51"/>
        <v>0</v>
      </c>
      <c r="CB47" s="135">
        <f>výdaje!B482</f>
        <v>0</v>
      </c>
      <c r="CC47" s="135"/>
      <c r="CD47" s="135">
        <f>výdaje!B510</f>
        <v>0</v>
      </c>
      <c r="CE47" s="135"/>
      <c r="CF47" s="135"/>
      <c r="CG47" s="143">
        <f t="shared" si="52"/>
        <v>0</v>
      </c>
      <c r="CH47" s="135"/>
      <c r="CI47" s="135"/>
      <c r="CJ47" s="139">
        <f t="shared" si="53"/>
        <v>0</v>
      </c>
      <c r="CK47" s="149"/>
      <c r="CL47" s="144"/>
      <c r="CM47" s="139"/>
      <c r="CN47" s="139"/>
      <c r="CO47" s="139">
        <f t="shared" si="54"/>
        <v>0</v>
      </c>
      <c r="CP47" s="149"/>
      <c r="CQ47" s="144"/>
      <c r="CR47" s="139"/>
      <c r="CS47" s="139"/>
      <c r="CT47" s="139"/>
      <c r="CU47" s="143">
        <f t="shared" si="55"/>
        <v>0</v>
      </c>
      <c r="CV47" s="135">
        <f>výdaje!B733</f>
        <v>0</v>
      </c>
      <c r="CW47" s="135"/>
      <c r="CX47" s="148"/>
      <c r="CY47" s="148"/>
      <c r="CZ47" s="141"/>
    </row>
    <row r="48" spans="1:104" ht="12" customHeight="1" thickBot="1" thickTop="1">
      <c r="A48" s="132"/>
      <c r="B48" s="8" t="s">
        <v>332</v>
      </c>
      <c r="C48" s="133">
        <f t="shared" si="38"/>
        <v>49</v>
      </c>
      <c r="D48" s="588"/>
      <c r="E48" s="134">
        <f t="shared" si="43"/>
        <v>0</v>
      </c>
      <c r="F48" s="149"/>
      <c r="G48" s="135"/>
      <c r="H48" s="135"/>
      <c r="I48" s="135"/>
      <c r="J48" s="135"/>
      <c r="K48" s="144"/>
      <c r="L48" s="136">
        <f t="shared" si="44"/>
        <v>0</v>
      </c>
      <c r="M48" s="135"/>
      <c r="N48" s="135"/>
      <c r="O48" s="135"/>
      <c r="P48" s="135"/>
      <c r="Q48" s="179"/>
      <c r="R48" s="135"/>
      <c r="S48" s="135"/>
      <c r="T48" s="137"/>
      <c r="U48" s="135"/>
      <c r="V48" s="135"/>
      <c r="W48" s="136">
        <f t="shared" si="45"/>
        <v>49</v>
      </c>
      <c r="X48" s="135">
        <f>příjmy!B81</f>
        <v>0</v>
      </c>
      <c r="Y48" s="135"/>
      <c r="Z48" s="135"/>
      <c r="AA48" s="135"/>
      <c r="AB48" s="135">
        <f>příjmy!B107</f>
        <v>30</v>
      </c>
      <c r="AC48" s="135"/>
      <c r="AD48" s="135"/>
      <c r="AE48" s="135"/>
      <c r="AF48" s="135"/>
      <c r="AG48" s="135"/>
      <c r="AH48" s="135">
        <f>příjmy!B158+příjmy!B194</f>
        <v>19</v>
      </c>
      <c r="AI48" s="135"/>
      <c r="AJ48" s="138"/>
      <c r="AK48" s="139"/>
      <c r="AL48" s="136">
        <f t="shared" si="46"/>
        <v>0</v>
      </c>
      <c r="AM48" s="135"/>
      <c r="AN48" s="135"/>
      <c r="AO48" s="140"/>
      <c r="AP48" s="139"/>
      <c r="AQ48" s="141"/>
      <c r="AR48" s="7"/>
      <c r="AS48" s="132"/>
      <c r="AT48" s="8" t="s">
        <v>332</v>
      </c>
      <c r="AU48" s="133">
        <f t="shared" si="39"/>
        <v>431</v>
      </c>
      <c r="AV48" s="8"/>
      <c r="AW48" s="142">
        <f t="shared" si="47"/>
        <v>228</v>
      </c>
      <c r="AX48" s="135">
        <f>výdaje!B20</f>
        <v>150</v>
      </c>
      <c r="AY48" s="135">
        <f>výdaje!B49</f>
        <v>20</v>
      </c>
      <c r="AZ48" s="135"/>
      <c r="BA48" s="135">
        <f>výdaje!B84</f>
        <v>43</v>
      </c>
      <c r="BB48" s="135">
        <f>výdaje!B112</f>
        <v>15</v>
      </c>
      <c r="BC48" s="135"/>
      <c r="BD48" s="144"/>
      <c r="BE48" s="143">
        <f t="shared" si="48"/>
        <v>147</v>
      </c>
      <c r="BF48" s="135">
        <f>výdaje!B141</f>
        <v>2</v>
      </c>
      <c r="BG48" s="135"/>
      <c r="BH48" s="135">
        <f>výdaje!B164</f>
        <v>15</v>
      </c>
      <c r="BI48" s="135"/>
      <c r="BJ48" s="144">
        <f>výdaje!B218</f>
        <v>130</v>
      </c>
      <c r="BK48" s="139"/>
      <c r="BL48" s="145">
        <f t="shared" si="49"/>
        <v>22</v>
      </c>
      <c r="BM48" s="135">
        <f>výdaje!B258</f>
        <v>0</v>
      </c>
      <c r="BN48" s="135"/>
      <c r="BO48" s="135">
        <f>výdaje!B295</f>
        <v>20</v>
      </c>
      <c r="BP48" s="135">
        <f>výdaje!B304</f>
        <v>1</v>
      </c>
      <c r="BQ48" s="135">
        <f>výdaje!B320</f>
        <v>1</v>
      </c>
      <c r="BR48" s="135"/>
      <c r="BS48" s="143">
        <f t="shared" si="50"/>
        <v>34</v>
      </c>
      <c r="BT48" s="135"/>
      <c r="BU48" s="135">
        <f>výdaje!B362</f>
        <v>1</v>
      </c>
      <c r="BV48" s="135"/>
      <c r="BW48" s="135"/>
      <c r="BX48" s="135"/>
      <c r="BY48" s="135"/>
      <c r="BZ48" s="135">
        <f>výdaje!B443</f>
        <v>33</v>
      </c>
      <c r="CA48" s="143">
        <f t="shared" si="51"/>
        <v>0</v>
      </c>
      <c r="CB48" s="135">
        <f>výdaje!B483</f>
        <v>0</v>
      </c>
      <c r="CC48" s="135"/>
      <c r="CD48" s="135">
        <f>výdaje!B511</f>
        <v>0</v>
      </c>
      <c r="CE48" s="135"/>
      <c r="CF48" s="135"/>
      <c r="CG48" s="143">
        <f t="shared" si="52"/>
        <v>0</v>
      </c>
      <c r="CH48" s="135"/>
      <c r="CI48" s="135"/>
      <c r="CJ48" s="139">
        <f t="shared" si="53"/>
        <v>0</v>
      </c>
      <c r="CK48" s="149"/>
      <c r="CL48" s="144"/>
      <c r="CM48" s="139"/>
      <c r="CN48" s="139"/>
      <c r="CO48" s="139">
        <f t="shared" si="54"/>
        <v>0</v>
      </c>
      <c r="CP48" s="149"/>
      <c r="CQ48" s="144"/>
      <c r="CR48" s="139"/>
      <c r="CS48" s="139"/>
      <c r="CT48" s="139"/>
      <c r="CU48" s="143">
        <f t="shared" si="55"/>
        <v>0</v>
      </c>
      <c r="CV48" s="135">
        <f>výdaje!B747+výdaje!B749+výdaje!B765+výdaje!B748+výdaje!B750</f>
        <v>0</v>
      </c>
      <c r="CW48" s="135"/>
      <c r="CX48" s="148"/>
      <c r="CY48" s="148"/>
      <c r="CZ48" s="141"/>
    </row>
    <row r="49" spans="1:104" ht="12" customHeight="1" thickBot="1" thickTop="1">
      <c r="A49" s="132"/>
      <c r="B49" s="8" t="s">
        <v>333</v>
      </c>
      <c r="C49" s="133">
        <f t="shared" si="38"/>
        <v>0</v>
      </c>
      <c r="D49" s="588"/>
      <c r="E49" s="134">
        <f t="shared" si="43"/>
        <v>0</v>
      </c>
      <c r="F49" s="149"/>
      <c r="G49" s="135"/>
      <c r="H49" s="135"/>
      <c r="I49" s="135"/>
      <c r="J49" s="135"/>
      <c r="K49" s="144"/>
      <c r="L49" s="136">
        <f t="shared" si="44"/>
        <v>0</v>
      </c>
      <c r="M49" s="149">
        <f>příjmy!B34</f>
        <v>0</v>
      </c>
      <c r="N49" s="135"/>
      <c r="O49" s="135"/>
      <c r="P49" s="135"/>
      <c r="Q49" s="179"/>
      <c r="R49" s="135"/>
      <c r="S49" s="135"/>
      <c r="T49" s="137"/>
      <c r="U49" s="135"/>
      <c r="V49" s="135"/>
      <c r="W49" s="136">
        <f t="shared" si="45"/>
        <v>0</v>
      </c>
      <c r="X49" s="149">
        <f>příjmy!B82</f>
        <v>0</v>
      </c>
      <c r="Y49" s="135"/>
      <c r="Z49" s="135"/>
      <c r="AA49" s="135"/>
      <c r="AB49" s="135"/>
      <c r="AC49" s="135"/>
      <c r="AD49" s="135"/>
      <c r="AE49" s="135"/>
      <c r="AF49" s="135"/>
      <c r="AG49" s="135"/>
      <c r="AH49" s="135">
        <f>příjmy!B159</f>
        <v>0</v>
      </c>
      <c r="AI49" s="135"/>
      <c r="AJ49" s="138"/>
      <c r="AK49" s="139"/>
      <c r="AL49" s="136">
        <f t="shared" si="46"/>
        <v>0</v>
      </c>
      <c r="AM49" s="149"/>
      <c r="AN49" s="135"/>
      <c r="AO49" s="144">
        <f>příjmy!B83</f>
        <v>0</v>
      </c>
      <c r="AP49" s="139">
        <f>příjmy!B286+příjmy!B287+příjmy!B195</f>
        <v>0</v>
      </c>
      <c r="AQ49" s="141"/>
      <c r="AR49" s="7"/>
      <c r="AS49" s="132"/>
      <c r="AT49" s="8" t="s">
        <v>333</v>
      </c>
      <c r="AU49" s="133">
        <f t="shared" si="39"/>
        <v>517</v>
      </c>
      <c r="AV49" s="8"/>
      <c r="AW49" s="142">
        <f t="shared" si="47"/>
        <v>0</v>
      </c>
      <c r="AX49" s="149"/>
      <c r="AY49" s="135">
        <f>výdaje!B50</f>
        <v>0</v>
      </c>
      <c r="AZ49" s="135"/>
      <c r="BA49" s="135"/>
      <c r="BB49" s="135"/>
      <c r="BC49" s="135"/>
      <c r="BD49" s="144"/>
      <c r="BE49" s="143">
        <f t="shared" si="48"/>
        <v>232</v>
      </c>
      <c r="BF49" s="135"/>
      <c r="BG49" s="135"/>
      <c r="BH49" s="135">
        <f>výdaje!B165</f>
        <v>20</v>
      </c>
      <c r="BI49" s="135"/>
      <c r="BJ49" s="144">
        <f>výdaje!B219</f>
        <v>212</v>
      </c>
      <c r="BK49" s="139"/>
      <c r="BL49" s="145">
        <f t="shared" si="49"/>
        <v>135</v>
      </c>
      <c r="BM49" s="149"/>
      <c r="BN49" s="135"/>
      <c r="BO49" s="135"/>
      <c r="BP49" s="135"/>
      <c r="BQ49" s="135">
        <f>výdaje!B321</f>
        <v>135</v>
      </c>
      <c r="BR49" s="144"/>
      <c r="BS49" s="143">
        <f t="shared" si="50"/>
        <v>60</v>
      </c>
      <c r="BT49" s="149"/>
      <c r="BU49" s="135"/>
      <c r="BV49" s="135"/>
      <c r="BW49" s="135"/>
      <c r="BX49" s="135">
        <f>výdaje!B394</f>
        <v>0</v>
      </c>
      <c r="BY49" s="135"/>
      <c r="BZ49" s="144">
        <f>výdaje!B444</f>
        <v>60</v>
      </c>
      <c r="CA49" s="143">
        <f t="shared" si="51"/>
        <v>0</v>
      </c>
      <c r="CB49" s="149"/>
      <c r="CC49" s="135"/>
      <c r="CD49" s="135"/>
      <c r="CE49" s="135"/>
      <c r="CF49" s="144"/>
      <c r="CG49" s="143">
        <f t="shared" si="52"/>
        <v>0</v>
      </c>
      <c r="CH49" s="149"/>
      <c r="CI49" s="144"/>
      <c r="CJ49" s="139">
        <f t="shared" si="53"/>
        <v>0</v>
      </c>
      <c r="CK49" s="149"/>
      <c r="CL49" s="144"/>
      <c r="CM49" s="139"/>
      <c r="CN49" s="139"/>
      <c r="CO49" s="139">
        <f t="shared" si="54"/>
        <v>0</v>
      </c>
      <c r="CP49" s="149"/>
      <c r="CQ49" s="144"/>
      <c r="CR49" s="139"/>
      <c r="CS49" s="139"/>
      <c r="CT49" s="139"/>
      <c r="CU49" s="143">
        <f t="shared" si="55"/>
        <v>90</v>
      </c>
      <c r="CV49" s="149">
        <f>výdaje!B721+výdaje!B722</f>
        <v>90</v>
      </c>
      <c r="CW49" s="135"/>
      <c r="CX49" s="148"/>
      <c r="CY49" s="148">
        <f>výdaje!B642</f>
        <v>0</v>
      </c>
      <c r="CZ49" s="141"/>
    </row>
    <row r="50" spans="1:104" ht="12" customHeight="1" thickBot="1" thickTop="1">
      <c r="A50" s="132"/>
      <c r="B50" s="8" t="s">
        <v>334</v>
      </c>
      <c r="C50" s="133">
        <f t="shared" si="38"/>
        <v>0</v>
      </c>
      <c r="D50" s="588"/>
      <c r="E50" s="134">
        <f t="shared" si="43"/>
        <v>0</v>
      </c>
      <c r="F50" s="149"/>
      <c r="G50" s="135"/>
      <c r="H50" s="135"/>
      <c r="I50" s="135"/>
      <c r="J50" s="135"/>
      <c r="K50" s="144"/>
      <c r="L50" s="136">
        <f t="shared" si="44"/>
        <v>0</v>
      </c>
      <c r="M50" s="149"/>
      <c r="N50" s="135"/>
      <c r="O50" s="135"/>
      <c r="P50" s="135"/>
      <c r="Q50" s="179"/>
      <c r="R50" s="135"/>
      <c r="S50" s="135"/>
      <c r="T50" s="137"/>
      <c r="U50" s="135"/>
      <c r="V50" s="135"/>
      <c r="W50" s="136">
        <f t="shared" si="45"/>
        <v>0</v>
      </c>
      <c r="X50" s="149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8"/>
      <c r="AK50" s="139"/>
      <c r="AL50" s="136">
        <f t="shared" si="46"/>
        <v>0</v>
      </c>
      <c r="AM50" s="149"/>
      <c r="AN50" s="135"/>
      <c r="AO50" s="144"/>
      <c r="AP50" s="139"/>
      <c r="AQ50" s="141"/>
      <c r="AR50" s="7"/>
      <c r="AS50" s="132"/>
      <c r="AT50" s="8" t="s">
        <v>334</v>
      </c>
      <c r="AU50" s="133">
        <f t="shared" si="39"/>
        <v>348</v>
      </c>
      <c r="AV50" s="8"/>
      <c r="AW50" s="142">
        <f t="shared" si="47"/>
        <v>0</v>
      </c>
      <c r="AX50" s="149"/>
      <c r="AY50" s="135"/>
      <c r="AZ50" s="135"/>
      <c r="BA50" s="135"/>
      <c r="BB50" s="135"/>
      <c r="BC50" s="135"/>
      <c r="BD50" s="144"/>
      <c r="BE50" s="143">
        <f t="shared" si="48"/>
        <v>168</v>
      </c>
      <c r="BF50" s="135"/>
      <c r="BG50" s="135"/>
      <c r="BH50" s="135">
        <f>výdaje!B166</f>
        <v>18</v>
      </c>
      <c r="BI50" s="135"/>
      <c r="BJ50" s="144">
        <f>výdaje!B220</f>
        <v>150</v>
      </c>
      <c r="BK50" s="139"/>
      <c r="BL50" s="145">
        <f t="shared" si="49"/>
        <v>30</v>
      </c>
      <c r="BM50" s="149">
        <f>výdaje!B259</f>
        <v>0</v>
      </c>
      <c r="BN50" s="135"/>
      <c r="BO50" s="135">
        <f>výdaje!B296</f>
        <v>30</v>
      </c>
      <c r="BP50" s="135"/>
      <c r="BQ50" s="135"/>
      <c r="BR50" s="144"/>
      <c r="BS50" s="143">
        <f t="shared" si="50"/>
        <v>0</v>
      </c>
      <c r="BT50" s="149"/>
      <c r="BU50" s="135"/>
      <c r="BV50" s="135"/>
      <c r="BW50" s="135"/>
      <c r="BX50" s="135"/>
      <c r="BY50" s="135"/>
      <c r="BZ50" s="144">
        <f>výdaje!B445</f>
        <v>0</v>
      </c>
      <c r="CA50" s="143">
        <f t="shared" si="51"/>
        <v>0</v>
      </c>
      <c r="CB50" s="149">
        <f>výdaje!B484</f>
        <v>0</v>
      </c>
      <c r="CC50" s="135"/>
      <c r="CD50" s="135"/>
      <c r="CE50" s="135"/>
      <c r="CF50" s="144"/>
      <c r="CG50" s="143">
        <f t="shared" si="52"/>
        <v>0</v>
      </c>
      <c r="CH50" s="149"/>
      <c r="CI50" s="144"/>
      <c r="CJ50" s="139">
        <f t="shared" si="53"/>
        <v>0</v>
      </c>
      <c r="CK50" s="149"/>
      <c r="CL50" s="144"/>
      <c r="CM50" s="139"/>
      <c r="CN50" s="139"/>
      <c r="CO50" s="139">
        <f t="shared" si="54"/>
        <v>0</v>
      </c>
      <c r="CP50" s="149"/>
      <c r="CQ50" s="144"/>
      <c r="CR50" s="139"/>
      <c r="CS50" s="139"/>
      <c r="CT50" s="139"/>
      <c r="CU50" s="143">
        <f t="shared" si="55"/>
        <v>150</v>
      </c>
      <c r="CV50" s="149">
        <f>výdaje!B734</f>
        <v>150</v>
      </c>
      <c r="CW50" s="135"/>
      <c r="CX50" s="148"/>
      <c r="CY50" s="148">
        <f>výdaje!B643</f>
        <v>0</v>
      </c>
      <c r="CZ50" s="141"/>
    </row>
    <row r="51" spans="1:104" ht="12" customHeight="1" thickBot="1" thickTop="1">
      <c r="A51" s="132"/>
      <c r="B51" s="8" t="s">
        <v>335</v>
      </c>
      <c r="C51" s="133">
        <f t="shared" si="38"/>
        <v>802</v>
      </c>
      <c r="D51" s="588"/>
      <c r="E51" s="134">
        <f t="shared" si="43"/>
        <v>0</v>
      </c>
      <c r="F51" s="149"/>
      <c r="G51" s="135"/>
      <c r="H51" s="135"/>
      <c r="I51" s="135"/>
      <c r="J51" s="135"/>
      <c r="K51" s="144"/>
      <c r="L51" s="136">
        <f t="shared" si="44"/>
        <v>0</v>
      </c>
      <c r="M51" s="135"/>
      <c r="N51" s="135"/>
      <c r="O51" s="135"/>
      <c r="P51" s="135"/>
      <c r="Q51" s="179"/>
      <c r="R51" s="135"/>
      <c r="S51" s="135"/>
      <c r="T51" s="137"/>
      <c r="U51" s="135"/>
      <c r="V51" s="135"/>
      <c r="W51" s="136">
        <f t="shared" si="45"/>
        <v>802</v>
      </c>
      <c r="X51" s="149">
        <f>příjmy!B84</f>
        <v>0</v>
      </c>
      <c r="Y51" s="135"/>
      <c r="Z51" s="135"/>
      <c r="AA51" s="135"/>
      <c r="AB51" s="135">
        <f>příjmy!B108</f>
        <v>802</v>
      </c>
      <c r="AC51" s="135"/>
      <c r="AD51" s="135"/>
      <c r="AE51" s="135"/>
      <c r="AF51" s="135"/>
      <c r="AG51" s="135"/>
      <c r="AH51" s="135"/>
      <c r="AI51" s="135"/>
      <c r="AJ51" s="138"/>
      <c r="AK51" s="139"/>
      <c r="AL51" s="136">
        <f t="shared" si="46"/>
        <v>0</v>
      </c>
      <c r="AM51" s="149"/>
      <c r="AN51" s="135"/>
      <c r="AO51" s="144"/>
      <c r="AP51" s="139"/>
      <c r="AQ51" s="141"/>
      <c r="AR51" s="7"/>
      <c r="AS51" s="132"/>
      <c r="AT51" s="8" t="s">
        <v>335</v>
      </c>
      <c r="AU51" s="133">
        <f t="shared" si="39"/>
        <v>0</v>
      </c>
      <c r="AV51" s="8"/>
      <c r="AW51" s="142">
        <f t="shared" si="47"/>
        <v>0</v>
      </c>
      <c r="AX51" s="135">
        <f>výdaje!B21</f>
        <v>0</v>
      </c>
      <c r="AY51" s="135">
        <f>výdaje!B51</f>
        <v>0</v>
      </c>
      <c r="AZ51" s="135"/>
      <c r="BA51" s="135">
        <f>výdaje!B85</f>
        <v>0</v>
      </c>
      <c r="BB51" s="135">
        <f>výdaje!B113</f>
        <v>0</v>
      </c>
      <c r="BC51" s="135"/>
      <c r="BD51" s="144"/>
      <c r="BE51" s="143">
        <f t="shared" si="48"/>
        <v>0</v>
      </c>
      <c r="BF51" s="135"/>
      <c r="BG51" s="135"/>
      <c r="BH51" s="135"/>
      <c r="BI51" s="135"/>
      <c r="BJ51" s="144">
        <f>výdaje!B221</f>
        <v>0</v>
      </c>
      <c r="BK51" s="139">
        <f>výdaje!B239</f>
        <v>0</v>
      </c>
      <c r="BL51" s="145">
        <f t="shared" si="49"/>
        <v>0</v>
      </c>
      <c r="BM51" s="135">
        <f>výdaje!B260</f>
        <v>0</v>
      </c>
      <c r="BN51" s="135">
        <f>výdaje!B274</f>
        <v>0</v>
      </c>
      <c r="BO51" s="135">
        <f>výdaje!B297</f>
        <v>0</v>
      </c>
      <c r="BP51" s="135"/>
      <c r="BQ51" s="135">
        <f>výdaje!B322</f>
        <v>0</v>
      </c>
      <c r="BR51" s="135">
        <f>výdaje!B326</f>
        <v>0</v>
      </c>
      <c r="BS51" s="143">
        <f t="shared" si="50"/>
        <v>0</v>
      </c>
      <c r="BT51" s="135"/>
      <c r="BU51" s="135">
        <f>výdaje!B363</f>
        <v>0</v>
      </c>
      <c r="BV51" s="135"/>
      <c r="BW51" s="135"/>
      <c r="BX51" s="135">
        <f>výdaje!B395</f>
        <v>0</v>
      </c>
      <c r="BY51" s="135"/>
      <c r="BZ51" s="135">
        <f>výdaje!B446</f>
        <v>0</v>
      </c>
      <c r="CA51" s="143">
        <f t="shared" si="51"/>
        <v>0</v>
      </c>
      <c r="CB51" s="135">
        <f>výdaje!B485</f>
        <v>0</v>
      </c>
      <c r="CC51" s="135"/>
      <c r="CD51" s="135">
        <f>výdaje!B513</f>
        <v>0</v>
      </c>
      <c r="CE51" s="135" t="s">
        <v>121</v>
      </c>
      <c r="CF51" s="135"/>
      <c r="CG51" s="143">
        <f t="shared" si="52"/>
        <v>0</v>
      </c>
      <c r="CH51" s="135"/>
      <c r="CI51" s="135"/>
      <c r="CJ51" s="139">
        <f t="shared" si="53"/>
        <v>0</v>
      </c>
      <c r="CK51" s="149"/>
      <c r="CL51" s="144"/>
      <c r="CM51" s="139"/>
      <c r="CN51" s="139"/>
      <c r="CO51" s="139">
        <f t="shared" si="54"/>
        <v>0</v>
      </c>
      <c r="CP51" s="149"/>
      <c r="CQ51" s="144">
        <f>výdaje!B604</f>
        <v>0</v>
      </c>
      <c r="CR51" s="139"/>
      <c r="CS51" s="139"/>
      <c r="CT51" s="139"/>
      <c r="CU51" s="143">
        <f t="shared" si="55"/>
        <v>0</v>
      </c>
      <c r="CV51" s="135">
        <f>výdaje!B751+výdaje!B752</f>
        <v>0</v>
      </c>
      <c r="CW51" s="135"/>
      <c r="CX51" s="148"/>
      <c r="CY51" s="148"/>
      <c r="CZ51" s="141"/>
    </row>
    <row r="52" spans="1:104" ht="12" customHeight="1" thickBot="1" thickTop="1">
      <c r="A52" s="132"/>
      <c r="B52" s="574" t="s">
        <v>160</v>
      </c>
      <c r="C52" s="133">
        <f t="shared" si="38"/>
        <v>126</v>
      </c>
      <c r="D52" s="588"/>
      <c r="E52" s="134">
        <f t="shared" si="43"/>
        <v>0</v>
      </c>
      <c r="F52" s="149"/>
      <c r="G52" s="135"/>
      <c r="H52" s="135"/>
      <c r="I52" s="135"/>
      <c r="J52" s="135"/>
      <c r="K52" s="144"/>
      <c r="L52" s="136">
        <f t="shared" si="44"/>
        <v>0</v>
      </c>
      <c r="M52" s="169"/>
      <c r="N52" s="181"/>
      <c r="O52" s="181"/>
      <c r="P52" s="181"/>
      <c r="Q52" s="182"/>
      <c r="R52" s="181"/>
      <c r="S52" s="181"/>
      <c r="T52" s="183"/>
      <c r="U52" s="181"/>
      <c r="V52" s="181"/>
      <c r="W52" s="136">
        <f t="shared" si="45"/>
        <v>0</v>
      </c>
      <c r="X52" s="149">
        <f>příjmy!B85</f>
        <v>0</v>
      </c>
      <c r="Y52" s="135"/>
      <c r="Z52" s="135"/>
      <c r="AA52" s="135"/>
      <c r="AB52" s="135">
        <f>příjmy!B109</f>
        <v>0</v>
      </c>
      <c r="AC52" s="135"/>
      <c r="AD52" s="135"/>
      <c r="AE52" s="135"/>
      <c r="AF52" s="135"/>
      <c r="AG52" s="135">
        <f>příjmy!B170</f>
        <v>0</v>
      </c>
      <c r="AH52" s="135"/>
      <c r="AI52" s="135"/>
      <c r="AJ52" s="138"/>
      <c r="AK52" s="139"/>
      <c r="AL52" s="136">
        <f t="shared" si="46"/>
        <v>0</v>
      </c>
      <c r="AM52" s="149"/>
      <c r="AN52" s="135"/>
      <c r="AO52" s="144"/>
      <c r="AP52" s="139">
        <f>příjmy!B289+příjmy!B290</f>
        <v>126</v>
      </c>
      <c r="AQ52" s="141">
        <f>příjmy!B291</f>
        <v>0</v>
      </c>
      <c r="AR52" s="7"/>
      <c r="AS52" s="132"/>
      <c r="AT52" s="574" t="s">
        <v>160</v>
      </c>
      <c r="AU52" s="133">
        <f t="shared" si="39"/>
        <v>161</v>
      </c>
      <c r="AV52" s="8"/>
      <c r="AW52" s="142">
        <f t="shared" si="47"/>
        <v>148</v>
      </c>
      <c r="AX52" s="169">
        <f>výdaje!B22</f>
        <v>111</v>
      </c>
      <c r="AY52" s="181">
        <f>výdaje!B52</f>
        <v>0</v>
      </c>
      <c r="AZ52" s="181"/>
      <c r="BA52" s="181">
        <f>výdaje!B86</f>
        <v>28</v>
      </c>
      <c r="BB52" s="181">
        <f>výdaje!B114</f>
        <v>9</v>
      </c>
      <c r="BC52" s="181"/>
      <c r="BD52" s="170"/>
      <c r="BE52" s="143">
        <f t="shared" si="48"/>
        <v>6</v>
      </c>
      <c r="BF52" s="181">
        <f>výdaje!B142</f>
        <v>0</v>
      </c>
      <c r="BG52" s="181"/>
      <c r="BH52" s="181">
        <f>výdaje!B167</f>
        <v>2</v>
      </c>
      <c r="BI52" s="181"/>
      <c r="BJ52" s="170">
        <f>výdaje!B222</f>
        <v>4</v>
      </c>
      <c r="BK52" s="139"/>
      <c r="BL52" s="145">
        <f t="shared" si="49"/>
        <v>0</v>
      </c>
      <c r="BM52" s="169">
        <f>výdaje!B261</f>
        <v>0</v>
      </c>
      <c r="BN52" s="181"/>
      <c r="BO52" s="181">
        <f>výdaje!B298</f>
        <v>0</v>
      </c>
      <c r="BP52" s="181">
        <f>výdaje!B305</f>
        <v>0</v>
      </c>
      <c r="BQ52" s="181"/>
      <c r="BR52" s="170"/>
      <c r="BS52" s="143">
        <f t="shared" si="50"/>
        <v>6</v>
      </c>
      <c r="BT52" s="169">
        <f>výdaje!B345</f>
        <v>0</v>
      </c>
      <c r="BU52" s="181">
        <f>výdaje!B364</f>
        <v>1</v>
      </c>
      <c r="BV52" s="181"/>
      <c r="BW52" s="181"/>
      <c r="BX52" s="181">
        <f>výdaje!B396</f>
        <v>5</v>
      </c>
      <c r="BY52" s="181">
        <f>výdaje!B409</f>
        <v>0</v>
      </c>
      <c r="BZ52" s="170">
        <f>výdaje!B447</f>
        <v>0</v>
      </c>
      <c r="CA52" s="143">
        <f t="shared" si="51"/>
        <v>1</v>
      </c>
      <c r="CB52" s="169">
        <f>výdaje!B486</f>
        <v>0</v>
      </c>
      <c r="CC52" s="181"/>
      <c r="CD52" s="181">
        <f>výdaje!B514</f>
        <v>1</v>
      </c>
      <c r="CE52" s="181">
        <f>výdaje!B533</f>
        <v>0</v>
      </c>
      <c r="CF52" s="170"/>
      <c r="CG52" s="143">
        <f t="shared" si="52"/>
        <v>0</v>
      </c>
      <c r="CH52" s="169"/>
      <c r="CI52" s="170"/>
      <c r="CJ52" s="139">
        <f t="shared" si="53"/>
        <v>0</v>
      </c>
      <c r="CK52" s="169"/>
      <c r="CL52" s="170">
        <f>výdaje!B559</f>
        <v>0</v>
      </c>
      <c r="CM52" s="139">
        <f>výdaje!B577</f>
        <v>0</v>
      </c>
      <c r="CN52" s="139"/>
      <c r="CO52" s="139">
        <f t="shared" si="54"/>
        <v>0</v>
      </c>
      <c r="CP52" s="149"/>
      <c r="CQ52" s="144">
        <f>výdaje!B611</f>
        <v>0</v>
      </c>
      <c r="CR52" s="139"/>
      <c r="CS52" s="139">
        <f>výdaje!B676</f>
        <v>0</v>
      </c>
      <c r="CT52" s="139"/>
      <c r="CU52" s="143">
        <f t="shared" si="55"/>
        <v>0</v>
      </c>
      <c r="CV52" s="169"/>
      <c r="CW52" s="181"/>
      <c r="CX52" s="148"/>
      <c r="CY52" s="148"/>
      <c r="CZ52" s="141"/>
    </row>
    <row r="53" spans="1:104" ht="12" customHeight="1" thickBot="1" thickTop="1">
      <c r="A53" s="132"/>
      <c r="B53" s="574" t="s">
        <v>161</v>
      </c>
      <c r="C53" s="133">
        <f t="shared" si="38"/>
        <v>555</v>
      </c>
      <c r="D53" s="588"/>
      <c r="E53" s="134">
        <f t="shared" si="43"/>
        <v>0</v>
      </c>
      <c r="F53" s="149"/>
      <c r="G53" s="135"/>
      <c r="H53" s="135"/>
      <c r="I53" s="135"/>
      <c r="J53" s="135"/>
      <c r="K53" s="144"/>
      <c r="L53" s="136">
        <f t="shared" si="44"/>
        <v>0</v>
      </c>
      <c r="M53" s="149"/>
      <c r="N53" s="135"/>
      <c r="O53" s="135"/>
      <c r="P53" s="135"/>
      <c r="Q53" s="179"/>
      <c r="R53" s="135"/>
      <c r="S53" s="135"/>
      <c r="T53" s="137"/>
      <c r="U53" s="135"/>
      <c r="V53" s="135"/>
      <c r="W53" s="136">
        <f t="shared" si="45"/>
        <v>260</v>
      </c>
      <c r="X53" s="149">
        <f>příjmy!B86</f>
        <v>0</v>
      </c>
      <c r="Y53" s="135"/>
      <c r="Z53" s="135"/>
      <c r="AA53" s="135"/>
      <c r="AB53" s="135">
        <f>příjmy!B110</f>
        <v>0</v>
      </c>
      <c r="AC53" s="135"/>
      <c r="AD53" s="135"/>
      <c r="AE53" s="135"/>
      <c r="AF53" s="135"/>
      <c r="AG53" s="135"/>
      <c r="AH53" s="135">
        <f>příjmy!B197+příjmy!B198+příjmy!B199</f>
        <v>0</v>
      </c>
      <c r="AI53" s="135">
        <f>příjmy!B204</f>
        <v>260</v>
      </c>
      <c r="AJ53" s="138"/>
      <c r="AK53" s="139"/>
      <c r="AL53" s="136">
        <f t="shared" si="46"/>
        <v>0</v>
      </c>
      <c r="AM53" s="149"/>
      <c r="AN53" s="135"/>
      <c r="AO53" s="144"/>
      <c r="AP53" s="139">
        <f>příjmy!B300</f>
        <v>295</v>
      </c>
      <c r="AQ53" s="141"/>
      <c r="AR53" s="7"/>
      <c r="AS53" s="132"/>
      <c r="AT53" s="574" t="s">
        <v>161</v>
      </c>
      <c r="AU53" s="133">
        <f t="shared" si="39"/>
        <v>1584</v>
      </c>
      <c r="AV53" s="8"/>
      <c r="AW53" s="142">
        <f t="shared" si="47"/>
        <v>0</v>
      </c>
      <c r="AX53" s="135"/>
      <c r="AY53" s="135">
        <f>výdaje!B53</f>
        <v>0</v>
      </c>
      <c r="AZ53" s="135"/>
      <c r="BA53" s="135">
        <f>výdaje!B87</f>
        <v>0</v>
      </c>
      <c r="BB53" s="135">
        <f>výdaje!B115</f>
        <v>0</v>
      </c>
      <c r="BC53" s="135"/>
      <c r="BD53" s="144"/>
      <c r="BE53" s="143">
        <f t="shared" si="48"/>
        <v>0</v>
      </c>
      <c r="BF53" s="135">
        <f>výdaje!B144</f>
        <v>0</v>
      </c>
      <c r="BG53" s="135">
        <f>výdaje!B188</f>
        <v>0</v>
      </c>
      <c r="BH53" s="135">
        <f>výdaje!B168</f>
        <v>0</v>
      </c>
      <c r="BI53" s="135"/>
      <c r="BJ53" s="144">
        <f>výdaje!B223</f>
        <v>0</v>
      </c>
      <c r="BK53" s="139"/>
      <c r="BL53" s="145">
        <f t="shared" si="49"/>
        <v>0</v>
      </c>
      <c r="BM53" s="135">
        <f>výdaje!B262</f>
        <v>0</v>
      </c>
      <c r="BN53" s="135">
        <f>výdaje!B275</f>
        <v>0</v>
      </c>
      <c r="BO53" s="135">
        <f>výdaje!B299</f>
        <v>0</v>
      </c>
      <c r="BP53" s="135"/>
      <c r="BQ53" s="135">
        <f>výdaje!B323</f>
        <v>0</v>
      </c>
      <c r="BR53" s="135"/>
      <c r="BS53" s="143">
        <f t="shared" si="50"/>
        <v>0</v>
      </c>
      <c r="BT53" s="135"/>
      <c r="BU53" s="135">
        <f>výdaje!B365</f>
        <v>0</v>
      </c>
      <c r="BV53" s="135"/>
      <c r="BW53" s="135"/>
      <c r="BX53" s="135"/>
      <c r="BY53" s="135"/>
      <c r="BZ53" s="135">
        <f>výdaje!B448</f>
        <v>0</v>
      </c>
      <c r="CA53" s="143">
        <f t="shared" si="51"/>
        <v>0</v>
      </c>
      <c r="CB53" s="135">
        <f>výdaje!B487</f>
        <v>0</v>
      </c>
      <c r="CC53" s="135"/>
      <c r="CD53" s="135">
        <f>výdaje!B515</f>
        <v>0</v>
      </c>
      <c r="CE53" s="135">
        <f>výdaje!B534</f>
        <v>0</v>
      </c>
      <c r="CF53" s="135"/>
      <c r="CG53" s="143">
        <f t="shared" si="52"/>
        <v>0</v>
      </c>
      <c r="CH53" s="135"/>
      <c r="CI53" s="135"/>
      <c r="CJ53" s="139">
        <f t="shared" si="53"/>
        <v>0</v>
      </c>
      <c r="CK53" s="149"/>
      <c r="CL53" s="144">
        <f>výdaje!B560</f>
        <v>0</v>
      </c>
      <c r="CM53" s="139">
        <f>výdaje!B575</f>
        <v>700</v>
      </c>
      <c r="CN53" s="139"/>
      <c r="CO53" s="139">
        <f t="shared" si="54"/>
        <v>0</v>
      </c>
      <c r="CP53" s="149"/>
      <c r="CQ53" s="144"/>
      <c r="CR53" s="139"/>
      <c r="CS53" s="139"/>
      <c r="CT53" s="139"/>
      <c r="CU53" s="143">
        <f t="shared" si="55"/>
        <v>600</v>
      </c>
      <c r="CV53" s="135">
        <f>výdaje!B755+výdaje!B764+výdaje!B782</f>
        <v>600</v>
      </c>
      <c r="CW53" s="135"/>
      <c r="CX53" s="148">
        <f>výdaje!B773+výdaje!B774</f>
        <v>284</v>
      </c>
      <c r="CY53" s="148">
        <f>výdaje!B644</f>
        <v>0</v>
      </c>
      <c r="CZ53" s="141"/>
    </row>
    <row r="54" spans="1:104" ht="12" customHeight="1" thickBot="1" thickTop="1">
      <c r="A54" s="184"/>
      <c r="B54" s="575" t="s">
        <v>162</v>
      </c>
      <c r="C54" s="133">
        <f t="shared" si="38"/>
        <v>0</v>
      </c>
      <c r="D54" s="588"/>
      <c r="E54" s="134">
        <f t="shared" si="43"/>
        <v>0</v>
      </c>
      <c r="F54" s="149"/>
      <c r="G54" s="135"/>
      <c r="H54" s="135"/>
      <c r="I54" s="135"/>
      <c r="J54" s="135"/>
      <c r="K54" s="144"/>
      <c r="L54" s="136">
        <f t="shared" si="44"/>
        <v>0</v>
      </c>
      <c r="M54" s="149"/>
      <c r="N54" s="135"/>
      <c r="O54" s="135"/>
      <c r="P54" s="135"/>
      <c r="Q54" s="179"/>
      <c r="R54" s="135"/>
      <c r="S54" s="135"/>
      <c r="T54" s="137"/>
      <c r="U54" s="135"/>
      <c r="V54" s="135"/>
      <c r="W54" s="136">
        <f t="shared" si="45"/>
        <v>0</v>
      </c>
      <c r="X54" s="149">
        <f>příjmy!B87</f>
        <v>0</v>
      </c>
      <c r="Y54" s="135"/>
      <c r="Z54" s="135"/>
      <c r="AA54" s="135"/>
      <c r="AB54" s="135">
        <f>příjmy!B111</f>
        <v>0</v>
      </c>
      <c r="AC54" s="135"/>
      <c r="AD54" s="135"/>
      <c r="AE54" s="135">
        <f>příjmy!B128</f>
        <v>0</v>
      </c>
      <c r="AF54" s="135"/>
      <c r="AG54" s="135"/>
      <c r="AH54" s="135">
        <f>příjmy!B160</f>
        <v>0</v>
      </c>
      <c r="AI54" s="135"/>
      <c r="AJ54" s="138"/>
      <c r="AK54" s="139"/>
      <c r="AL54" s="136">
        <f t="shared" si="46"/>
        <v>0</v>
      </c>
      <c r="AM54" s="149"/>
      <c r="AN54" s="135"/>
      <c r="AO54" s="144">
        <f>příjmy!B239</f>
        <v>0</v>
      </c>
      <c r="AP54" s="139">
        <f>příjmy!B294</f>
        <v>0</v>
      </c>
      <c r="AQ54" s="141"/>
      <c r="AR54" s="7"/>
      <c r="AS54" s="132"/>
      <c r="AT54" s="575" t="s">
        <v>162</v>
      </c>
      <c r="AU54" s="133">
        <f t="shared" si="39"/>
        <v>236</v>
      </c>
      <c r="AV54" s="8"/>
      <c r="AW54" s="142">
        <f t="shared" si="47"/>
        <v>134</v>
      </c>
      <c r="AX54" s="135">
        <f>výdaje!B23</f>
        <v>100</v>
      </c>
      <c r="AY54" s="135">
        <f>výdaje!B54</f>
        <v>0</v>
      </c>
      <c r="AZ54" s="135"/>
      <c r="BA54" s="135">
        <f>výdaje!B88</f>
        <v>25</v>
      </c>
      <c r="BB54" s="135">
        <f>výdaje!B116</f>
        <v>9</v>
      </c>
      <c r="BC54" s="135"/>
      <c r="BD54" s="144"/>
      <c r="BE54" s="143">
        <f t="shared" si="48"/>
        <v>60</v>
      </c>
      <c r="BF54" s="135">
        <f>výdaje!B143</f>
        <v>0</v>
      </c>
      <c r="BG54" s="135"/>
      <c r="BH54" s="135">
        <f>výdaje!B169</f>
        <v>0</v>
      </c>
      <c r="BI54" s="135"/>
      <c r="BJ54" s="144">
        <f>výdaje!B224</f>
        <v>60</v>
      </c>
      <c r="BK54" s="139"/>
      <c r="BL54" s="145">
        <f t="shared" si="49"/>
        <v>15</v>
      </c>
      <c r="BM54" s="135">
        <f>výdaje!B263</f>
        <v>0</v>
      </c>
      <c r="BN54" s="135">
        <f>výdaje!B276</f>
        <v>0</v>
      </c>
      <c r="BO54" s="135">
        <f>výdaje!B300</f>
        <v>0</v>
      </c>
      <c r="BP54" s="135"/>
      <c r="BQ54" s="135">
        <f>výdaje!B324</f>
        <v>15</v>
      </c>
      <c r="BR54" s="135"/>
      <c r="BS54" s="143">
        <f t="shared" si="50"/>
        <v>27</v>
      </c>
      <c r="BT54" s="135"/>
      <c r="BU54" s="135">
        <f>výdaje!B366</f>
        <v>0</v>
      </c>
      <c r="BV54" s="135"/>
      <c r="BW54" s="135"/>
      <c r="BX54" s="135"/>
      <c r="BY54" s="135"/>
      <c r="BZ54" s="135">
        <f>výdaje!B449</f>
        <v>27</v>
      </c>
      <c r="CA54" s="143">
        <f t="shared" si="51"/>
        <v>0</v>
      </c>
      <c r="CB54" s="135">
        <f>výdaje!B488</f>
        <v>0</v>
      </c>
      <c r="CC54" s="135"/>
      <c r="CD54" s="135"/>
      <c r="CE54" s="135">
        <f>výdaje!B535</f>
        <v>0</v>
      </c>
      <c r="CF54" s="135"/>
      <c r="CG54" s="143">
        <f t="shared" si="52"/>
        <v>0</v>
      </c>
      <c r="CH54" s="135"/>
      <c r="CI54" s="135"/>
      <c r="CJ54" s="139">
        <f t="shared" si="53"/>
        <v>0</v>
      </c>
      <c r="CK54" s="149"/>
      <c r="CL54" s="144">
        <f>výdaje!B562</f>
        <v>0</v>
      </c>
      <c r="CM54" s="139"/>
      <c r="CN54" s="139"/>
      <c r="CO54" s="139">
        <f t="shared" si="54"/>
        <v>0</v>
      </c>
      <c r="CP54" s="149"/>
      <c r="CQ54" s="144">
        <f>výdaje!B606</f>
        <v>0</v>
      </c>
      <c r="CR54" s="139"/>
      <c r="CS54" s="139"/>
      <c r="CT54" s="139"/>
      <c r="CU54" s="143">
        <f t="shared" si="55"/>
        <v>0</v>
      </c>
      <c r="CV54" s="135">
        <f>výdaje!B753+výdaje!B759</f>
        <v>0</v>
      </c>
      <c r="CW54" s="135"/>
      <c r="CX54" s="148">
        <f>výdaje!B767</f>
        <v>0</v>
      </c>
      <c r="CY54" s="148"/>
      <c r="CZ54" s="141"/>
    </row>
    <row r="55" spans="1:104" ht="12" customHeight="1" thickBot="1" thickTop="1">
      <c r="A55" s="132"/>
      <c r="B55" s="8" t="s">
        <v>336</v>
      </c>
      <c r="C55" s="133">
        <f t="shared" si="38"/>
        <v>4000</v>
      </c>
      <c r="D55" s="588"/>
      <c r="E55" s="134">
        <f t="shared" si="43"/>
        <v>0</v>
      </c>
      <c r="F55" s="185"/>
      <c r="G55" s="186"/>
      <c r="H55" s="186"/>
      <c r="I55" s="186"/>
      <c r="J55" s="187"/>
      <c r="K55" s="186"/>
      <c r="L55" s="136">
        <f t="shared" si="44"/>
        <v>0</v>
      </c>
      <c r="M55" s="185"/>
      <c r="N55" s="186"/>
      <c r="O55" s="186"/>
      <c r="P55" s="187"/>
      <c r="Q55" s="186"/>
      <c r="R55" s="186"/>
      <c r="S55" s="186"/>
      <c r="T55" s="188"/>
      <c r="U55" s="186"/>
      <c r="V55" s="186"/>
      <c r="W55" s="136">
        <f t="shared" si="45"/>
        <v>0</v>
      </c>
      <c r="X55" s="160">
        <f>příjmy!B88</f>
        <v>0</v>
      </c>
      <c r="Y55" s="189"/>
      <c r="Z55" s="189"/>
      <c r="AA55" s="189"/>
      <c r="AB55" s="189"/>
      <c r="AC55" s="189"/>
      <c r="AD55" s="189"/>
      <c r="AE55" s="189"/>
      <c r="AF55" s="189"/>
      <c r="AG55" s="189"/>
      <c r="AH55" s="189">
        <f>příjmy!B201+příjmy!B202+příjmy!B161</f>
        <v>0</v>
      </c>
      <c r="AI55" s="189"/>
      <c r="AJ55" s="138">
        <f>příjmy!B218+příjmy!B219+příjmy!B220</f>
        <v>4000</v>
      </c>
      <c r="AK55" s="139"/>
      <c r="AL55" s="136">
        <f t="shared" si="46"/>
        <v>0</v>
      </c>
      <c r="AM55" s="160"/>
      <c r="AN55" s="189"/>
      <c r="AO55" s="161"/>
      <c r="AP55" s="139">
        <f>příjmy!B221</f>
        <v>0</v>
      </c>
      <c r="AQ55" s="141"/>
      <c r="AR55" s="7"/>
      <c r="AS55" s="132"/>
      <c r="AT55" s="8" t="s">
        <v>336</v>
      </c>
      <c r="AU55" s="133">
        <f t="shared" si="39"/>
        <v>4554</v>
      </c>
      <c r="AV55" s="8"/>
      <c r="AW55" s="142">
        <f t="shared" si="47"/>
        <v>4554</v>
      </c>
      <c r="AX55" s="160">
        <f>výdaje!B24+výdaje!B25</f>
        <v>4200</v>
      </c>
      <c r="AY55" s="189">
        <f>výdaje!B56+výdaje!B55</f>
        <v>0</v>
      </c>
      <c r="AZ55" s="189"/>
      <c r="BA55" s="189">
        <f>výdaje!B89+výdaje!B90</f>
        <v>262</v>
      </c>
      <c r="BB55" s="189">
        <f>výdaje!B117+výdaje!B118</f>
        <v>92</v>
      </c>
      <c r="BC55" s="189"/>
      <c r="BD55" s="161"/>
      <c r="BE55" s="143">
        <f t="shared" si="48"/>
        <v>0</v>
      </c>
      <c r="BF55" s="189"/>
      <c r="BG55" s="189"/>
      <c r="BH55" s="189"/>
      <c r="BI55" s="189"/>
      <c r="BJ55" s="161">
        <f>výdaje!B225+výdaje!B226</f>
        <v>0</v>
      </c>
      <c r="BK55" s="139"/>
      <c r="BL55" s="145">
        <f t="shared" si="49"/>
        <v>0</v>
      </c>
      <c r="BM55" s="160"/>
      <c r="BN55" s="189"/>
      <c r="BO55" s="189"/>
      <c r="BP55" s="189"/>
      <c r="BQ55" s="189">
        <f>výdaje!B325</f>
        <v>0</v>
      </c>
      <c r="BR55" s="161"/>
      <c r="BS55" s="143">
        <f t="shared" si="50"/>
        <v>0</v>
      </c>
      <c r="BT55" s="160"/>
      <c r="BU55" s="189">
        <f>výdaje!B367+výdaje!B368</f>
        <v>0</v>
      </c>
      <c r="BV55" s="189">
        <f>výdaje!B379</f>
        <v>0</v>
      </c>
      <c r="BW55" s="189"/>
      <c r="BX55" s="189"/>
      <c r="BY55" s="189"/>
      <c r="BZ55" s="161">
        <f>výdaje!B450+výdaje!B451</f>
        <v>0</v>
      </c>
      <c r="CA55" s="143">
        <f t="shared" si="51"/>
        <v>0</v>
      </c>
      <c r="CB55" s="160"/>
      <c r="CC55" s="189"/>
      <c r="CD55" s="189"/>
      <c r="CE55" s="189"/>
      <c r="CF55" s="161"/>
      <c r="CG55" s="143">
        <f t="shared" si="52"/>
        <v>0</v>
      </c>
      <c r="CH55" s="160"/>
      <c r="CI55" s="161"/>
      <c r="CJ55" s="139">
        <f t="shared" si="53"/>
        <v>0</v>
      </c>
      <c r="CK55" s="160"/>
      <c r="CL55" s="190">
        <f>výdaje!B561</f>
        <v>0</v>
      </c>
      <c r="CM55" s="139"/>
      <c r="CN55" s="139"/>
      <c r="CO55" s="139">
        <f t="shared" si="54"/>
        <v>0</v>
      </c>
      <c r="CP55" s="160"/>
      <c r="CQ55" s="161"/>
      <c r="CR55" s="139"/>
      <c r="CS55" s="139"/>
      <c r="CT55" s="139"/>
      <c r="CU55" s="143">
        <f t="shared" si="55"/>
        <v>0</v>
      </c>
      <c r="CV55" s="160"/>
      <c r="CW55" s="189"/>
      <c r="CX55" s="148"/>
      <c r="CY55" s="148"/>
      <c r="CZ55" s="141"/>
    </row>
    <row r="56" spans="1:104" ht="12.75" customHeight="1" thickBot="1" thickTop="1">
      <c r="A56" s="150" t="s">
        <v>337</v>
      </c>
      <c r="B56" s="151"/>
      <c r="C56" s="122">
        <f t="shared" si="38"/>
        <v>0</v>
      </c>
      <c r="D56" s="587"/>
      <c r="E56" s="152">
        <f aca="true" t="shared" si="56" ref="E56:AQ56">SUM(E57:E57)</f>
        <v>0</v>
      </c>
      <c r="F56" s="153">
        <f t="shared" si="56"/>
        <v>0</v>
      </c>
      <c r="G56" s="153">
        <f t="shared" si="56"/>
        <v>0</v>
      </c>
      <c r="H56" s="153">
        <f t="shared" si="56"/>
        <v>0</v>
      </c>
      <c r="I56" s="153">
        <f t="shared" si="56"/>
        <v>0</v>
      </c>
      <c r="J56" s="153">
        <f t="shared" si="56"/>
        <v>0</v>
      </c>
      <c r="K56" s="153">
        <f t="shared" si="56"/>
        <v>0</v>
      </c>
      <c r="L56" s="154">
        <f t="shared" si="56"/>
        <v>0</v>
      </c>
      <c r="M56" s="155">
        <f t="shared" si="56"/>
        <v>0</v>
      </c>
      <c r="N56" s="155">
        <f t="shared" si="56"/>
        <v>0</v>
      </c>
      <c r="O56" s="155">
        <f t="shared" si="56"/>
        <v>0</v>
      </c>
      <c r="P56" s="155">
        <f t="shared" si="56"/>
        <v>0</v>
      </c>
      <c r="Q56" s="155">
        <f t="shared" si="56"/>
        <v>0</v>
      </c>
      <c r="R56" s="155">
        <f t="shared" si="56"/>
        <v>0</v>
      </c>
      <c r="S56" s="155">
        <f t="shared" si="56"/>
        <v>0</v>
      </c>
      <c r="T56" s="155">
        <f t="shared" si="56"/>
        <v>0</v>
      </c>
      <c r="U56" s="155">
        <f t="shared" si="56"/>
        <v>0</v>
      </c>
      <c r="V56" s="155">
        <f t="shared" si="56"/>
        <v>0</v>
      </c>
      <c r="W56" s="154">
        <f t="shared" si="56"/>
        <v>0</v>
      </c>
      <c r="X56" s="155">
        <f t="shared" si="56"/>
        <v>0</v>
      </c>
      <c r="Y56" s="155">
        <f t="shared" si="56"/>
        <v>0</v>
      </c>
      <c r="Z56" s="155">
        <f t="shared" si="56"/>
        <v>0</v>
      </c>
      <c r="AA56" s="155">
        <f t="shared" si="56"/>
        <v>0</v>
      </c>
      <c r="AB56" s="155">
        <f t="shared" si="56"/>
        <v>0</v>
      </c>
      <c r="AC56" s="155">
        <f t="shared" si="56"/>
        <v>0</v>
      </c>
      <c r="AD56" s="155">
        <f t="shared" si="56"/>
        <v>0</v>
      </c>
      <c r="AE56" s="155">
        <f t="shared" si="56"/>
        <v>0</v>
      </c>
      <c r="AF56" s="155">
        <f t="shared" si="56"/>
        <v>0</v>
      </c>
      <c r="AG56" s="155">
        <f t="shared" si="56"/>
        <v>0</v>
      </c>
      <c r="AH56" s="155">
        <f t="shared" si="56"/>
        <v>0</v>
      </c>
      <c r="AI56" s="155">
        <f t="shared" si="56"/>
        <v>0</v>
      </c>
      <c r="AJ56" s="156">
        <f t="shared" si="56"/>
        <v>0</v>
      </c>
      <c r="AK56" s="154">
        <f t="shared" si="56"/>
        <v>0</v>
      </c>
      <c r="AL56" s="154">
        <f t="shared" si="56"/>
        <v>0</v>
      </c>
      <c r="AM56" s="155">
        <f t="shared" si="56"/>
        <v>0</v>
      </c>
      <c r="AN56" s="155">
        <f t="shared" si="56"/>
        <v>0</v>
      </c>
      <c r="AO56" s="151">
        <f t="shared" si="56"/>
        <v>0</v>
      </c>
      <c r="AP56" s="154">
        <f t="shared" si="56"/>
        <v>0</v>
      </c>
      <c r="AQ56" s="157">
        <f t="shared" si="56"/>
        <v>0</v>
      </c>
      <c r="AR56" s="151"/>
      <c r="AS56" s="150" t="s">
        <v>337</v>
      </c>
      <c r="AT56" s="151"/>
      <c r="AU56" s="122">
        <f t="shared" si="39"/>
        <v>1370</v>
      </c>
      <c r="AV56" s="129"/>
      <c r="AW56" s="158">
        <f aca="true" t="shared" si="57" ref="AW56:CB56">SUM(AW57:AW57)</f>
        <v>134</v>
      </c>
      <c r="AX56" s="155">
        <f t="shared" si="57"/>
        <v>100</v>
      </c>
      <c r="AY56" s="155">
        <f t="shared" si="57"/>
        <v>0</v>
      </c>
      <c r="AZ56" s="155">
        <f t="shared" si="57"/>
        <v>0</v>
      </c>
      <c r="BA56" s="155">
        <f t="shared" si="57"/>
        <v>25</v>
      </c>
      <c r="BB56" s="155">
        <f t="shared" si="57"/>
        <v>9</v>
      </c>
      <c r="BC56" s="155">
        <f t="shared" si="57"/>
        <v>0</v>
      </c>
      <c r="BD56" s="155">
        <f t="shared" si="57"/>
        <v>0</v>
      </c>
      <c r="BE56" s="154">
        <f t="shared" si="57"/>
        <v>0</v>
      </c>
      <c r="BF56" s="155">
        <f t="shared" si="57"/>
        <v>0</v>
      </c>
      <c r="BG56" s="155">
        <f t="shared" si="57"/>
        <v>0</v>
      </c>
      <c r="BH56" s="155">
        <f t="shared" si="57"/>
        <v>0</v>
      </c>
      <c r="BI56" s="155">
        <f t="shared" si="57"/>
        <v>0</v>
      </c>
      <c r="BJ56" s="159">
        <f t="shared" si="57"/>
        <v>0</v>
      </c>
      <c r="BK56" s="154">
        <f t="shared" si="57"/>
        <v>0</v>
      </c>
      <c r="BL56" s="152">
        <f t="shared" si="57"/>
        <v>0</v>
      </c>
      <c r="BM56" s="155">
        <f t="shared" si="57"/>
        <v>0</v>
      </c>
      <c r="BN56" s="155">
        <f t="shared" si="57"/>
        <v>0</v>
      </c>
      <c r="BO56" s="155">
        <f t="shared" si="57"/>
        <v>0</v>
      </c>
      <c r="BP56" s="155">
        <f t="shared" si="57"/>
        <v>0</v>
      </c>
      <c r="BQ56" s="155">
        <f t="shared" si="57"/>
        <v>0</v>
      </c>
      <c r="BR56" s="155">
        <f t="shared" si="57"/>
        <v>0</v>
      </c>
      <c r="BS56" s="154">
        <f t="shared" si="57"/>
        <v>1</v>
      </c>
      <c r="BT56" s="155">
        <f t="shared" si="57"/>
        <v>0</v>
      </c>
      <c r="BU56" s="155">
        <f t="shared" si="57"/>
        <v>0</v>
      </c>
      <c r="BV56" s="155">
        <f t="shared" si="57"/>
        <v>0</v>
      </c>
      <c r="BW56" s="155">
        <f t="shared" si="57"/>
        <v>0</v>
      </c>
      <c r="BX56" s="155">
        <f t="shared" si="57"/>
        <v>0</v>
      </c>
      <c r="BY56" s="155">
        <f t="shared" si="57"/>
        <v>0</v>
      </c>
      <c r="BZ56" s="155">
        <f t="shared" si="57"/>
        <v>1</v>
      </c>
      <c r="CA56" s="154">
        <f t="shared" si="57"/>
        <v>0</v>
      </c>
      <c r="CB56" s="155">
        <f t="shared" si="57"/>
        <v>0</v>
      </c>
      <c r="CC56" s="155">
        <f aca="true" t="shared" si="58" ref="CC56:CZ56">SUM(CC57:CC57)</f>
        <v>0</v>
      </c>
      <c r="CD56" s="155">
        <f t="shared" si="58"/>
        <v>0</v>
      </c>
      <c r="CE56" s="155">
        <f t="shared" si="58"/>
        <v>0</v>
      </c>
      <c r="CF56" s="155">
        <f t="shared" si="58"/>
        <v>0</v>
      </c>
      <c r="CG56" s="154">
        <f t="shared" si="58"/>
        <v>0</v>
      </c>
      <c r="CH56" s="155">
        <f t="shared" si="58"/>
        <v>0</v>
      </c>
      <c r="CI56" s="155">
        <f t="shared" si="58"/>
        <v>0</v>
      </c>
      <c r="CJ56" s="154">
        <f t="shared" si="58"/>
        <v>0</v>
      </c>
      <c r="CK56" s="154">
        <f t="shared" si="58"/>
        <v>0</v>
      </c>
      <c r="CL56" s="154">
        <f t="shared" si="58"/>
        <v>0</v>
      </c>
      <c r="CM56" s="154">
        <f t="shared" si="58"/>
        <v>0</v>
      </c>
      <c r="CN56" s="154">
        <f t="shared" si="58"/>
        <v>0</v>
      </c>
      <c r="CO56" s="154">
        <f t="shared" si="58"/>
        <v>35</v>
      </c>
      <c r="CP56" s="154">
        <f t="shared" si="58"/>
        <v>0</v>
      </c>
      <c r="CQ56" s="154">
        <f t="shared" si="58"/>
        <v>35</v>
      </c>
      <c r="CR56" s="154">
        <f t="shared" si="58"/>
        <v>0</v>
      </c>
      <c r="CS56" s="154">
        <f t="shared" si="58"/>
        <v>0</v>
      </c>
      <c r="CT56" s="154">
        <f t="shared" si="58"/>
        <v>0</v>
      </c>
      <c r="CU56" s="154">
        <f t="shared" si="58"/>
        <v>1100</v>
      </c>
      <c r="CV56" s="155">
        <f t="shared" si="58"/>
        <v>0</v>
      </c>
      <c r="CW56" s="155">
        <f t="shared" si="58"/>
        <v>1100</v>
      </c>
      <c r="CX56" s="155">
        <f t="shared" si="58"/>
        <v>100</v>
      </c>
      <c r="CY56" s="155">
        <f t="shared" si="58"/>
        <v>0</v>
      </c>
      <c r="CZ56" s="157">
        <f t="shared" si="58"/>
        <v>0</v>
      </c>
    </row>
    <row r="57" spans="1:104" ht="12" customHeight="1" thickBot="1" thickTop="1">
      <c r="A57" s="132"/>
      <c r="B57" s="8" t="s">
        <v>338</v>
      </c>
      <c r="C57" s="133">
        <f t="shared" si="38"/>
        <v>0</v>
      </c>
      <c r="D57" s="588"/>
      <c r="E57" s="134">
        <f>SUM(F57:K57)</f>
        <v>0</v>
      </c>
      <c r="F57" s="135"/>
      <c r="G57" s="135"/>
      <c r="H57" s="135"/>
      <c r="I57" s="135"/>
      <c r="J57" s="135"/>
      <c r="K57" s="135"/>
      <c r="L57" s="136">
        <f>SUM(M57:V57)</f>
        <v>0</v>
      </c>
      <c r="M57" s="135">
        <f>příjmy!B36</f>
        <v>0</v>
      </c>
      <c r="N57" s="135"/>
      <c r="O57" s="135"/>
      <c r="P57" s="135"/>
      <c r="Q57" s="135"/>
      <c r="R57" s="135"/>
      <c r="S57" s="135"/>
      <c r="T57" s="137"/>
      <c r="U57" s="135"/>
      <c r="V57" s="135"/>
      <c r="W57" s="136">
        <f>SUM(X57:AI57)</f>
        <v>0</v>
      </c>
      <c r="X57" s="135">
        <f>příjmy!B90</f>
        <v>0</v>
      </c>
      <c r="Y57" s="135"/>
      <c r="Z57" s="135"/>
      <c r="AA57" s="135"/>
      <c r="AB57" s="135"/>
      <c r="AC57" s="135"/>
      <c r="AD57" s="135"/>
      <c r="AE57" s="135"/>
      <c r="AF57" s="135"/>
      <c r="AG57" s="135"/>
      <c r="AH57" s="135">
        <f>příjmy!B162+příjmy!B203</f>
        <v>0</v>
      </c>
      <c r="AI57" s="135"/>
      <c r="AJ57" s="138"/>
      <c r="AK57" s="139"/>
      <c r="AL57" s="136">
        <f>SUM(AM57:AO57)</f>
        <v>0</v>
      </c>
      <c r="AM57" s="135"/>
      <c r="AN57" s="135"/>
      <c r="AO57" s="140">
        <f>příjmy!B234</f>
        <v>0</v>
      </c>
      <c r="AP57" s="139">
        <f>příjmy!B252</f>
        <v>0</v>
      </c>
      <c r="AQ57" s="141"/>
      <c r="AR57" s="7"/>
      <c r="AS57" s="132"/>
      <c r="AT57" s="8" t="s">
        <v>338</v>
      </c>
      <c r="AU57" s="133">
        <f t="shared" si="39"/>
        <v>1370</v>
      </c>
      <c r="AV57" s="8"/>
      <c r="AW57" s="142">
        <f>SUM(AX57:BD57)</f>
        <v>134</v>
      </c>
      <c r="AX57" s="135">
        <f>výdaje!B26</f>
        <v>100</v>
      </c>
      <c r="AY57" s="135"/>
      <c r="AZ57" s="135"/>
      <c r="BA57" s="135">
        <f>výdaje!B91</f>
        <v>25</v>
      </c>
      <c r="BB57" s="135">
        <f>výdaje!B119</f>
        <v>9</v>
      </c>
      <c r="BC57" s="135"/>
      <c r="BD57" s="135"/>
      <c r="BE57" s="143">
        <f>SUM(BF57:BJ57)</f>
        <v>0</v>
      </c>
      <c r="BF57" s="135"/>
      <c r="BG57" s="135"/>
      <c r="BH57" s="135">
        <f>výdaje!B172</f>
        <v>0</v>
      </c>
      <c r="BI57" s="135"/>
      <c r="BJ57" s="144">
        <f>výdaje!B227</f>
        <v>0</v>
      </c>
      <c r="BK57" s="139"/>
      <c r="BL57" s="145">
        <f>SUM(BM57:BR57)</f>
        <v>0</v>
      </c>
      <c r="BM57" s="135"/>
      <c r="BN57" s="135"/>
      <c r="BO57" s="135"/>
      <c r="BP57" s="135"/>
      <c r="BQ57" s="135"/>
      <c r="BR57" s="135"/>
      <c r="BS57" s="143">
        <f>SUM(BT57:BZ57)</f>
        <v>1</v>
      </c>
      <c r="BT57" s="135"/>
      <c r="BU57" s="135">
        <f>výdaje!B369</f>
        <v>0</v>
      </c>
      <c r="BV57" s="135"/>
      <c r="BW57" s="135">
        <f>výdaje!B384</f>
        <v>0</v>
      </c>
      <c r="BX57" s="135"/>
      <c r="BY57" s="135"/>
      <c r="BZ57" s="135">
        <f>výdaje!B452</f>
        <v>1</v>
      </c>
      <c r="CA57" s="143">
        <f>SUM(CB57:CF57)</f>
        <v>0</v>
      </c>
      <c r="CB57" s="135"/>
      <c r="CC57" s="135"/>
      <c r="CD57" s="135"/>
      <c r="CE57" s="135"/>
      <c r="CF57" s="135"/>
      <c r="CG57" s="143">
        <f>SUM(CH57:CI57)</f>
        <v>0</v>
      </c>
      <c r="CH57" s="135"/>
      <c r="CI57" s="135"/>
      <c r="CJ57" s="139">
        <f>SUM(CK57:CL57)</f>
        <v>0</v>
      </c>
      <c r="CK57" s="160"/>
      <c r="CL57" s="161"/>
      <c r="CM57" s="139"/>
      <c r="CN57" s="139"/>
      <c r="CO57" s="139">
        <f>SUM(CP57:CQ57)</f>
        <v>35</v>
      </c>
      <c r="CP57" s="146"/>
      <c r="CQ57" s="147">
        <f>výdaje!B607</f>
        <v>35</v>
      </c>
      <c r="CR57" s="139"/>
      <c r="CS57" s="139">
        <f>výdaje!B701</f>
        <v>0</v>
      </c>
      <c r="CT57" s="139"/>
      <c r="CU57" s="143">
        <f>CV57+CW57</f>
        <v>1100</v>
      </c>
      <c r="CV57" s="135">
        <f>výdaje!B744</f>
        <v>0</v>
      </c>
      <c r="CW57" s="135">
        <f>výdaje!B719</f>
        <v>1100</v>
      </c>
      <c r="CX57" s="148">
        <f>výdaje!B720</f>
        <v>100</v>
      </c>
      <c r="CY57" s="148"/>
      <c r="CZ57" s="141"/>
    </row>
    <row r="58" spans="1:104" ht="12.75" customHeight="1" thickBot="1" thickTop="1">
      <c r="A58" s="150" t="s">
        <v>339</v>
      </c>
      <c r="B58" s="151"/>
      <c r="C58" s="122">
        <f t="shared" si="38"/>
        <v>37127</v>
      </c>
      <c r="D58" s="587"/>
      <c r="E58" s="152">
        <f aca="true" t="shared" si="59" ref="E58:V58">SUM(E59:E60)</f>
        <v>35878</v>
      </c>
      <c r="F58" s="153">
        <f t="shared" si="59"/>
        <v>6965</v>
      </c>
      <c r="G58" s="153">
        <f t="shared" si="59"/>
        <v>1285</v>
      </c>
      <c r="H58" s="153">
        <f t="shared" si="59"/>
        <v>6950</v>
      </c>
      <c r="I58" s="153">
        <f t="shared" si="59"/>
        <v>3978</v>
      </c>
      <c r="J58" s="153">
        <f t="shared" si="59"/>
        <v>14700</v>
      </c>
      <c r="K58" s="153">
        <f t="shared" si="59"/>
        <v>2000</v>
      </c>
      <c r="L58" s="154">
        <f t="shared" si="59"/>
        <v>1195</v>
      </c>
      <c r="M58" s="155">
        <f t="shared" si="59"/>
        <v>0</v>
      </c>
      <c r="N58" s="155">
        <f t="shared" si="59"/>
        <v>0</v>
      </c>
      <c r="O58" s="155">
        <f t="shared" si="59"/>
        <v>0</v>
      </c>
      <c r="P58" s="155">
        <f t="shared" si="59"/>
        <v>0</v>
      </c>
      <c r="Q58" s="155">
        <f t="shared" si="59"/>
        <v>40</v>
      </c>
      <c r="R58" s="155">
        <f t="shared" si="59"/>
        <v>70</v>
      </c>
      <c r="S58" s="155">
        <f t="shared" si="59"/>
        <v>10</v>
      </c>
      <c r="T58" s="155">
        <f t="shared" si="59"/>
        <v>0</v>
      </c>
      <c r="U58" s="155">
        <f t="shared" si="59"/>
        <v>60</v>
      </c>
      <c r="V58" s="155">
        <f t="shared" si="59"/>
        <v>1015</v>
      </c>
      <c r="W58" s="154">
        <f>SUM(W59:W61)</f>
        <v>54</v>
      </c>
      <c r="X58" s="155">
        <f aca="true" t="shared" si="60" ref="X58:AH58">SUM(X59:X60)</f>
        <v>0</v>
      </c>
      <c r="Y58" s="155">
        <f t="shared" si="60"/>
        <v>0</v>
      </c>
      <c r="Z58" s="155">
        <f t="shared" si="60"/>
        <v>0</v>
      </c>
      <c r="AA58" s="155">
        <f t="shared" si="60"/>
        <v>0</v>
      </c>
      <c r="AB58" s="155">
        <f t="shared" si="60"/>
        <v>0</v>
      </c>
      <c r="AC58" s="155">
        <f t="shared" si="60"/>
        <v>0</v>
      </c>
      <c r="AD58" s="155">
        <f t="shared" si="60"/>
        <v>0</v>
      </c>
      <c r="AE58" s="155">
        <f t="shared" si="60"/>
        <v>0</v>
      </c>
      <c r="AF58" s="155">
        <f t="shared" si="60"/>
        <v>0</v>
      </c>
      <c r="AG58" s="155">
        <f t="shared" si="60"/>
        <v>0</v>
      </c>
      <c r="AH58" s="155">
        <f t="shared" si="60"/>
        <v>0</v>
      </c>
      <c r="AI58" s="155">
        <f>SUM(AI59:AI61)</f>
        <v>52</v>
      </c>
      <c r="AJ58" s="156">
        <f aca="true" t="shared" si="61" ref="AJ58:AQ58">SUM(AJ59:AJ60)</f>
        <v>0</v>
      </c>
      <c r="AK58" s="154">
        <f t="shared" si="61"/>
        <v>0</v>
      </c>
      <c r="AL58" s="154">
        <f t="shared" si="61"/>
        <v>0</v>
      </c>
      <c r="AM58" s="155">
        <f t="shared" si="61"/>
        <v>0</v>
      </c>
      <c r="AN58" s="155">
        <f t="shared" si="61"/>
        <v>0</v>
      </c>
      <c r="AO58" s="151">
        <f t="shared" si="61"/>
        <v>0</v>
      </c>
      <c r="AP58" s="154">
        <f t="shared" si="61"/>
        <v>0</v>
      </c>
      <c r="AQ58" s="157">
        <f t="shared" si="61"/>
        <v>0</v>
      </c>
      <c r="AR58" s="151"/>
      <c r="AS58" s="150" t="s">
        <v>339</v>
      </c>
      <c r="AT58" s="151"/>
      <c r="AU58" s="122">
        <f t="shared" si="39"/>
        <v>15158</v>
      </c>
      <c r="AV58" s="129"/>
      <c r="AW58" s="158">
        <f aca="true" t="shared" si="62" ref="AW58:CB58">SUM(AW59:AW61)</f>
        <v>200</v>
      </c>
      <c r="AX58" s="155">
        <f t="shared" si="62"/>
        <v>200</v>
      </c>
      <c r="AY58" s="155">
        <f t="shared" si="62"/>
        <v>0</v>
      </c>
      <c r="AZ58" s="155">
        <f t="shared" si="62"/>
        <v>0</v>
      </c>
      <c r="BA58" s="155">
        <f t="shared" si="62"/>
        <v>0</v>
      </c>
      <c r="BB58" s="155">
        <f t="shared" si="62"/>
        <v>0</v>
      </c>
      <c r="BC58" s="155">
        <f t="shared" si="62"/>
        <v>0</v>
      </c>
      <c r="BD58" s="155">
        <f t="shared" si="62"/>
        <v>0</v>
      </c>
      <c r="BE58" s="154">
        <f t="shared" si="62"/>
        <v>0</v>
      </c>
      <c r="BF58" s="155">
        <f t="shared" si="62"/>
        <v>0</v>
      </c>
      <c r="BG58" s="155">
        <f t="shared" si="62"/>
        <v>0</v>
      </c>
      <c r="BH58" s="155">
        <f t="shared" si="62"/>
        <v>0</v>
      </c>
      <c r="BI58" s="155">
        <f t="shared" si="62"/>
        <v>0</v>
      </c>
      <c r="BJ58" s="155">
        <f t="shared" si="62"/>
        <v>0</v>
      </c>
      <c r="BK58" s="154">
        <f t="shared" si="62"/>
        <v>0</v>
      </c>
      <c r="BL58" s="152">
        <f t="shared" si="62"/>
        <v>0</v>
      </c>
      <c r="BM58" s="155">
        <f t="shared" si="62"/>
        <v>0</v>
      </c>
      <c r="BN58" s="155">
        <f t="shared" si="62"/>
        <v>0</v>
      </c>
      <c r="BO58" s="155">
        <f t="shared" si="62"/>
        <v>0</v>
      </c>
      <c r="BP58" s="155">
        <f t="shared" si="62"/>
        <v>0</v>
      </c>
      <c r="BQ58" s="155">
        <f t="shared" si="62"/>
        <v>0</v>
      </c>
      <c r="BR58" s="155">
        <f t="shared" si="62"/>
        <v>0</v>
      </c>
      <c r="BS58" s="155">
        <f t="shared" si="62"/>
        <v>779</v>
      </c>
      <c r="BT58" s="155">
        <f t="shared" si="62"/>
        <v>0</v>
      </c>
      <c r="BU58" s="155">
        <f t="shared" si="62"/>
        <v>0</v>
      </c>
      <c r="BV58" s="155">
        <f t="shared" si="62"/>
        <v>86</v>
      </c>
      <c r="BW58" s="155">
        <f t="shared" si="62"/>
        <v>0</v>
      </c>
      <c r="BX58" s="155">
        <f t="shared" si="62"/>
        <v>0</v>
      </c>
      <c r="BY58" s="155">
        <f t="shared" si="62"/>
        <v>0</v>
      </c>
      <c r="BZ58" s="155">
        <f t="shared" si="62"/>
        <v>693</v>
      </c>
      <c r="CA58" s="155">
        <f t="shared" si="62"/>
        <v>0</v>
      </c>
      <c r="CB58" s="155">
        <f t="shared" si="62"/>
        <v>0</v>
      </c>
      <c r="CC58" s="155">
        <f aca="true" t="shared" si="63" ref="CC58:CZ58">SUM(CC59:CC61)</f>
        <v>0</v>
      </c>
      <c r="CD58" s="155">
        <f t="shared" si="63"/>
        <v>0</v>
      </c>
      <c r="CE58" s="155">
        <f t="shared" si="63"/>
        <v>0</v>
      </c>
      <c r="CF58" s="155">
        <f t="shared" si="63"/>
        <v>0</v>
      </c>
      <c r="CG58" s="155">
        <f t="shared" si="63"/>
        <v>0</v>
      </c>
      <c r="CH58" s="155">
        <f t="shared" si="63"/>
        <v>0</v>
      </c>
      <c r="CI58" s="155">
        <f t="shared" si="63"/>
        <v>0</v>
      </c>
      <c r="CJ58" s="155">
        <f t="shared" si="63"/>
        <v>10</v>
      </c>
      <c r="CK58" s="155">
        <f t="shared" si="63"/>
        <v>0</v>
      </c>
      <c r="CL58" s="155">
        <f t="shared" si="63"/>
        <v>10</v>
      </c>
      <c r="CM58" s="155">
        <f t="shared" si="63"/>
        <v>0</v>
      </c>
      <c r="CN58" s="155">
        <f t="shared" si="63"/>
        <v>0</v>
      </c>
      <c r="CO58" s="155">
        <f t="shared" si="63"/>
        <v>3978</v>
      </c>
      <c r="CP58" s="155">
        <f t="shared" si="63"/>
        <v>0</v>
      </c>
      <c r="CQ58" s="155">
        <f t="shared" si="63"/>
        <v>3978</v>
      </c>
      <c r="CR58" s="155">
        <f t="shared" si="63"/>
        <v>0</v>
      </c>
      <c r="CS58" s="155">
        <f t="shared" si="63"/>
        <v>0</v>
      </c>
      <c r="CT58" s="155">
        <f t="shared" si="63"/>
        <v>100</v>
      </c>
      <c r="CU58" s="155">
        <f t="shared" si="63"/>
        <v>0</v>
      </c>
      <c r="CV58" s="155">
        <f t="shared" si="63"/>
        <v>0</v>
      </c>
      <c r="CW58" s="155">
        <f t="shared" si="63"/>
        <v>0</v>
      </c>
      <c r="CX58" s="155">
        <f t="shared" si="63"/>
        <v>10091</v>
      </c>
      <c r="CY58" s="155">
        <f t="shared" si="63"/>
        <v>0</v>
      </c>
      <c r="CZ58" s="155">
        <f t="shared" si="63"/>
        <v>0</v>
      </c>
    </row>
    <row r="59" spans="1:104" ht="12" customHeight="1" thickBot="1" thickTop="1">
      <c r="A59" s="132"/>
      <c r="B59" s="8" t="s">
        <v>340</v>
      </c>
      <c r="C59" s="133">
        <f t="shared" si="38"/>
        <v>37073</v>
      </c>
      <c r="D59" s="588"/>
      <c r="E59" s="134">
        <f>SUM(F59:K59)</f>
        <v>35878</v>
      </c>
      <c r="F59" s="135">
        <f>příjmy!B8</f>
        <v>6965</v>
      </c>
      <c r="G59" s="135">
        <f>příjmy!B9+příjmy!B10</f>
        <v>1285</v>
      </c>
      <c r="H59" s="135">
        <f>příjmy!B11</f>
        <v>6950</v>
      </c>
      <c r="I59" s="135">
        <f>příjmy!B12</f>
        <v>3978</v>
      </c>
      <c r="J59" s="135">
        <f>příjmy!B13</f>
        <v>14700</v>
      </c>
      <c r="K59" s="135">
        <f>příjmy!B14</f>
        <v>2000</v>
      </c>
      <c r="L59" s="136">
        <f>SUM(M59:V59)</f>
        <v>1195</v>
      </c>
      <c r="M59" s="135">
        <f>příjmy!B35</f>
        <v>0</v>
      </c>
      <c r="N59" s="135">
        <f>příjmy!B44</f>
        <v>0</v>
      </c>
      <c r="O59" s="135">
        <f>příjmy!B43</f>
        <v>0</v>
      </c>
      <c r="P59" s="135"/>
      <c r="Q59" s="135">
        <f>příjmy!B47</f>
        <v>40</v>
      </c>
      <c r="R59" s="135">
        <f>příjmy!B48</f>
        <v>70</v>
      </c>
      <c r="S59" s="135">
        <f>příjmy!B49</f>
        <v>10</v>
      </c>
      <c r="T59" s="137">
        <f>příjmy!B54</f>
        <v>0</v>
      </c>
      <c r="U59" s="135">
        <f>příjmy!B55</f>
        <v>60</v>
      </c>
      <c r="V59" s="135">
        <f>příjmy!B39+příjmy!B40+příjmy!B41</f>
        <v>1015</v>
      </c>
      <c r="W59" s="136">
        <f>SUM(X59:AI59)</f>
        <v>0</v>
      </c>
      <c r="X59" s="135"/>
      <c r="Y59" s="135"/>
      <c r="Z59" s="135"/>
      <c r="AA59" s="135"/>
      <c r="AB59" s="135"/>
      <c r="AC59" s="135"/>
      <c r="AD59" s="135"/>
      <c r="AE59" s="135">
        <f>příjmy!B129</f>
        <v>0</v>
      </c>
      <c r="AF59" s="135"/>
      <c r="AG59" s="135"/>
      <c r="AH59" s="135"/>
      <c r="AI59" s="135"/>
      <c r="AJ59" s="138"/>
      <c r="AK59" s="139"/>
      <c r="AL59" s="136">
        <f>SUM(AM59:AO59)</f>
        <v>0</v>
      </c>
      <c r="AM59" s="135"/>
      <c r="AN59" s="135"/>
      <c r="AO59" s="140">
        <f>příjmy!B52</f>
        <v>0</v>
      </c>
      <c r="AP59" s="139"/>
      <c r="AQ59" s="141"/>
      <c r="AR59" s="7"/>
      <c r="AS59" s="132"/>
      <c r="AT59" s="8" t="s">
        <v>340</v>
      </c>
      <c r="AU59" s="133">
        <f t="shared" si="39"/>
        <v>3978</v>
      </c>
      <c r="AV59" s="8"/>
      <c r="AW59" s="142">
        <f>SUM(AX59:BD59)</f>
        <v>0</v>
      </c>
      <c r="AX59" s="135"/>
      <c r="AY59" s="135"/>
      <c r="AZ59" s="135"/>
      <c r="BA59" s="135"/>
      <c r="BB59" s="135"/>
      <c r="BC59" s="135"/>
      <c r="BD59" s="135"/>
      <c r="BE59" s="143">
        <f>SUM(BF59:BJ59)</f>
        <v>0</v>
      </c>
      <c r="BF59" s="135"/>
      <c r="BG59" s="135"/>
      <c r="BH59" s="135"/>
      <c r="BI59" s="135"/>
      <c r="BJ59" s="144"/>
      <c r="BK59" s="139"/>
      <c r="BL59" s="145">
        <f>SUM(BM59:BR59)</f>
        <v>0</v>
      </c>
      <c r="BM59" s="135"/>
      <c r="BN59" s="135"/>
      <c r="BO59" s="135"/>
      <c r="BP59" s="135"/>
      <c r="BQ59" s="135"/>
      <c r="BR59" s="135"/>
      <c r="BS59" s="143">
        <f>SUM(BT59:BZ59)</f>
        <v>0</v>
      </c>
      <c r="BT59" s="135"/>
      <c r="BU59" s="135"/>
      <c r="BV59" s="135"/>
      <c r="BW59" s="135"/>
      <c r="BX59" s="135"/>
      <c r="BY59" s="135"/>
      <c r="BZ59" s="135"/>
      <c r="CA59" s="143">
        <f>SUM(CB59:CF59)</f>
        <v>0</v>
      </c>
      <c r="CB59" s="135"/>
      <c r="CC59" s="135"/>
      <c r="CD59" s="135"/>
      <c r="CE59" s="135"/>
      <c r="CF59" s="135"/>
      <c r="CG59" s="143">
        <f>SUM(CH59:CI59)</f>
        <v>0</v>
      </c>
      <c r="CH59" s="135"/>
      <c r="CI59" s="135"/>
      <c r="CJ59" s="139">
        <f>SUM(CK59:CL59)</f>
        <v>0</v>
      </c>
      <c r="CK59" s="146"/>
      <c r="CL59" s="147"/>
      <c r="CM59" s="139"/>
      <c r="CN59" s="139"/>
      <c r="CO59" s="139">
        <f>SUM(CP59:CQ59)</f>
        <v>3978</v>
      </c>
      <c r="CP59" s="146">
        <f>výdaje!B618</f>
        <v>0</v>
      </c>
      <c r="CQ59" s="147">
        <f>výdaje!B593</f>
        <v>3978</v>
      </c>
      <c r="CR59" s="139"/>
      <c r="CS59" s="139"/>
      <c r="CT59" s="139"/>
      <c r="CU59" s="143">
        <f>CV59+CW59</f>
        <v>0</v>
      </c>
      <c r="CV59" s="135"/>
      <c r="CW59" s="135"/>
      <c r="CX59" s="148"/>
      <c r="CY59" s="148"/>
      <c r="CZ59" s="141"/>
    </row>
    <row r="60" spans="1:104" ht="11.25" customHeight="1" thickBot="1" thickTop="1">
      <c r="A60" s="132"/>
      <c r="B60" s="8" t="s">
        <v>341</v>
      </c>
      <c r="C60" s="565">
        <f t="shared" si="38"/>
        <v>0</v>
      </c>
      <c r="D60" s="588"/>
      <c r="E60" s="194">
        <f>SUM(F60:K60)</f>
        <v>0</v>
      </c>
      <c r="F60" s="181"/>
      <c r="G60" s="181"/>
      <c r="H60" s="181"/>
      <c r="I60" s="181"/>
      <c r="J60" s="181"/>
      <c r="K60" s="181"/>
      <c r="L60" s="195">
        <f>SUM(M60:V60)</f>
        <v>0</v>
      </c>
      <c r="M60" s="181"/>
      <c r="N60" s="181"/>
      <c r="O60" s="181"/>
      <c r="P60" s="181"/>
      <c r="Q60" s="181"/>
      <c r="R60" s="181"/>
      <c r="S60" s="181"/>
      <c r="T60" s="183"/>
      <c r="U60" s="181"/>
      <c r="V60" s="181"/>
      <c r="W60" s="195">
        <f>SUM(X60:AI60)</f>
        <v>0</v>
      </c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96"/>
      <c r="AK60" s="192">
        <f>příjmy!B224+příjmy!B222+příjmy!B223</f>
        <v>0</v>
      </c>
      <c r="AL60" s="195">
        <f>SUM(AM60:AO60)</f>
        <v>0</v>
      </c>
      <c r="AM60" s="181"/>
      <c r="AN60" s="181"/>
      <c r="AO60" s="191"/>
      <c r="AP60" s="192"/>
      <c r="AQ60" s="193"/>
      <c r="AR60" s="7"/>
      <c r="AS60" s="132"/>
      <c r="AT60" s="8" t="s">
        <v>341</v>
      </c>
      <c r="AU60" s="133">
        <f t="shared" si="39"/>
        <v>10681</v>
      </c>
      <c r="AV60" s="8"/>
      <c r="AW60" s="142">
        <f>SUM(AX60:BD60)</f>
        <v>0</v>
      </c>
      <c r="AX60" s="181"/>
      <c r="AY60" s="181"/>
      <c r="AZ60" s="181"/>
      <c r="BA60" s="181"/>
      <c r="BB60" s="181"/>
      <c r="BC60" s="181"/>
      <c r="BD60" s="181"/>
      <c r="BE60" s="197">
        <f>SUM(BF60:BJ60)</f>
        <v>0</v>
      </c>
      <c r="BF60" s="181"/>
      <c r="BG60" s="181"/>
      <c r="BH60" s="181"/>
      <c r="BI60" s="181"/>
      <c r="BJ60" s="170"/>
      <c r="BK60" s="198"/>
      <c r="BL60" s="199">
        <f>SUM(BM60:BR60)</f>
        <v>0</v>
      </c>
      <c r="BM60" s="181"/>
      <c r="BN60" s="181"/>
      <c r="BO60" s="181"/>
      <c r="BP60" s="181"/>
      <c r="BQ60" s="181"/>
      <c r="BR60" s="181"/>
      <c r="BS60" s="197">
        <f>SUM(BT60:BZ60)</f>
        <v>590</v>
      </c>
      <c r="BT60" s="200"/>
      <c r="BU60" s="200"/>
      <c r="BV60" s="200"/>
      <c r="BW60" s="200"/>
      <c r="BX60" s="200"/>
      <c r="BY60" s="200"/>
      <c r="BZ60" s="200">
        <f>výdaje!B455</f>
        <v>590</v>
      </c>
      <c r="CA60" s="197">
        <f>SUM(CB60:CF60)</f>
        <v>0</v>
      </c>
      <c r="CB60" s="200"/>
      <c r="CC60" s="200"/>
      <c r="CD60" s="200"/>
      <c r="CE60" s="200"/>
      <c r="CF60" s="200"/>
      <c r="CG60" s="197">
        <f>SUM(CH60:CI60)</f>
        <v>0</v>
      </c>
      <c r="CH60" s="200"/>
      <c r="CI60" s="200"/>
      <c r="CJ60" s="198">
        <f>SUM(CK60:CL60)</f>
        <v>0</v>
      </c>
      <c r="CK60" s="201"/>
      <c r="CL60" s="202"/>
      <c r="CM60" s="198"/>
      <c r="CN60" s="198"/>
      <c r="CO60" s="198">
        <f>SUM(CP60:CQ60)</f>
        <v>0</v>
      </c>
      <c r="CP60" s="201"/>
      <c r="CQ60" s="202"/>
      <c r="CR60" s="198"/>
      <c r="CS60" s="198">
        <f>výdaje!B693+výdaje!B698</f>
        <v>0</v>
      </c>
      <c r="CT60" s="198"/>
      <c r="CU60" s="197">
        <f>CV60+CW60</f>
        <v>0</v>
      </c>
      <c r="CV60" s="200"/>
      <c r="CW60" s="200">
        <f>výdaje!B761</f>
        <v>0</v>
      </c>
      <c r="CX60" s="203">
        <f>výdaje!B786+výdaje!B787+výdaje!B788</f>
        <v>10091</v>
      </c>
      <c r="CY60" s="203"/>
      <c r="CZ60" s="204"/>
    </row>
    <row r="61" spans="1:104" ht="12" customHeight="1" thickBot="1" thickTop="1">
      <c r="A61" s="205"/>
      <c r="B61" s="206" t="s">
        <v>342</v>
      </c>
      <c r="C61" s="566">
        <f t="shared" si="38"/>
        <v>54</v>
      </c>
      <c r="D61" s="417"/>
      <c r="E61" s="207">
        <f>SUM(F61:K61)</f>
        <v>0</v>
      </c>
      <c r="F61" s="208"/>
      <c r="G61" s="209"/>
      <c r="H61" s="209"/>
      <c r="I61" s="209"/>
      <c r="J61" s="209"/>
      <c r="K61" s="210"/>
      <c r="L61" s="211">
        <f>SUM(M61:V61)</f>
        <v>0</v>
      </c>
      <c r="M61" s="208"/>
      <c r="N61" s="209"/>
      <c r="O61" s="209"/>
      <c r="P61" s="209"/>
      <c r="Q61" s="209"/>
      <c r="R61" s="209"/>
      <c r="S61" s="209"/>
      <c r="T61" s="209"/>
      <c r="U61" s="209"/>
      <c r="V61" s="210"/>
      <c r="W61" s="211">
        <f>SUM(X61:AI61)</f>
        <v>54</v>
      </c>
      <c r="X61" s="208"/>
      <c r="Y61" s="209"/>
      <c r="Z61" s="209"/>
      <c r="AA61" s="209"/>
      <c r="AB61" s="209"/>
      <c r="AC61" s="212">
        <f>příjmy!B117</f>
        <v>2</v>
      </c>
      <c r="AD61" s="209"/>
      <c r="AE61" s="209"/>
      <c r="AF61" s="209"/>
      <c r="AG61" s="209"/>
      <c r="AH61" s="212"/>
      <c r="AI61" s="213">
        <f>příjmy!B205</f>
        <v>52</v>
      </c>
      <c r="AJ61" s="211"/>
      <c r="AK61" s="211"/>
      <c r="AL61" s="211">
        <f>SUM(AM61:AO61)</f>
        <v>0</v>
      </c>
      <c r="AM61" s="208"/>
      <c r="AN61" s="209"/>
      <c r="AO61" s="210"/>
      <c r="AP61" s="211"/>
      <c r="AQ61" s="214"/>
      <c r="AR61" s="215"/>
      <c r="AS61" s="216"/>
      <c r="AT61" s="215" t="s">
        <v>342</v>
      </c>
      <c r="AU61" s="133">
        <f t="shared" si="39"/>
        <v>499</v>
      </c>
      <c r="AV61" s="8"/>
      <c r="AW61" s="142">
        <f>SUM(AX61:BD61)</f>
        <v>200</v>
      </c>
      <c r="AX61" s="201">
        <f>výdaje!B28</f>
        <v>200</v>
      </c>
      <c r="AY61" s="200"/>
      <c r="AZ61" s="200"/>
      <c r="BA61" s="200"/>
      <c r="BB61" s="200"/>
      <c r="BC61" s="200"/>
      <c r="BD61" s="202"/>
      <c r="BE61" s="197">
        <f>SUM(BF61:BJ61)</f>
        <v>0</v>
      </c>
      <c r="BF61" s="201"/>
      <c r="BG61" s="200"/>
      <c r="BH61" s="200"/>
      <c r="BI61" s="200"/>
      <c r="BJ61" s="202"/>
      <c r="BK61" s="198"/>
      <c r="BL61" s="199">
        <f>SUM(BM61:BR61)</f>
        <v>0</v>
      </c>
      <c r="BM61" s="201"/>
      <c r="BN61" s="200"/>
      <c r="BO61" s="200"/>
      <c r="BP61" s="200"/>
      <c r="BQ61" s="200"/>
      <c r="BR61" s="202"/>
      <c r="BS61" s="197">
        <f>SUM(BT61:BZ61)</f>
        <v>189</v>
      </c>
      <c r="BT61" s="200"/>
      <c r="BU61" s="200"/>
      <c r="BV61" s="200">
        <f>výdaje!B375</f>
        <v>86</v>
      </c>
      <c r="BW61" s="200"/>
      <c r="BX61" s="200"/>
      <c r="BY61" s="200"/>
      <c r="BZ61" s="200">
        <f>výdaje!B430</f>
        <v>103</v>
      </c>
      <c r="CA61" s="197">
        <f>SUM(CB61:CF61)</f>
        <v>0</v>
      </c>
      <c r="CB61" s="200"/>
      <c r="CC61" s="200"/>
      <c r="CD61" s="200"/>
      <c r="CE61" s="200">
        <f>výdaje!B529</f>
        <v>0</v>
      </c>
      <c r="CF61" s="200"/>
      <c r="CG61" s="197">
        <f>SUM(CH61:CI61)</f>
        <v>0</v>
      </c>
      <c r="CH61" s="200"/>
      <c r="CI61" s="200"/>
      <c r="CJ61" s="198">
        <f>SUM(CK61:CL61)</f>
        <v>10</v>
      </c>
      <c r="CK61" s="201"/>
      <c r="CL61" s="202">
        <f>výdaje!B556</f>
        <v>10</v>
      </c>
      <c r="CM61" s="198"/>
      <c r="CN61" s="198"/>
      <c r="CO61" s="198">
        <f>SUM(CP61:CQ61)</f>
        <v>0</v>
      </c>
      <c r="CP61" s="201"/>
      <c r="CQ61" s="202"/>
      <c r="CR61" s="198"/>
      <c r="CS61" s="198"/>
      <c r="CT61" s="198">
        <f>výdaje!B683</f>
        <v>100</v>
      </c>
      <c r="CU61" s="197">
        <f>CV61+CW61</f>
        <v>0</v>
      </c>
      <c r="CV61" s="200"/>
      <c r="CW61" s="200"/>
      <c r="CX61" s="203"/>
      <c r="CY61" s="203"/>
      <c r="CZ61" s="204"/>
    </row>
    <row r="67" ht="12.75">
      <c r="AP67" s="104">
        <f>AP5+AQ5</f>
        <v>53271.5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0"/>
  <sheetViews>
    <sheetView zoomScale="80" zoomScaleNormal="80" zoomScalePageLayoutView="0" workbookViewId="0" topLeftCell="A31">
      <selection activeCell="D29" sqref="D29"/>
    </sheetView>
  </sheetViews>
  <sheetFormatPr defaultColWidth="9.00390625" defaultRowHeight="12.75"/>
  <cols>
    <col min="1" max="1" width="2.875" style="1" customWidth="1"/>
    <col min="2" max="2" width="49.75390625" style="1" customWidth="1"/>
    <col min="3" max="3" width="2.00390625" style="1" hidden="1" customWidth="1"/>
    <col min="4" max="4" width="11.25390625" style="1" customWidth="1"/>
    <col min="5" max="5" width="0.6171875" style="1" customWidth="1"/>
    <col min="6" max="6" width="25.75390625" style="1" customWidth="1"/>
    <col min="7" max="7" width="0.875" style="1" customWidth="1"/>
    <col min="8" max="8" width="24.75390625" style="1" customWidth="1"/>
    <col min="9" max="9" width="0.875" style="1" customWidth="1"/>
    <col min="10" max="10" width="24.125" style="1" customWidth="1"/>
    <col min="11" max="11" width="48.75390625" style="1" customWidth="1"/>
    <col min="12" max="12" width="11.25390625" style="1" customWidth="1"/>
    <col min="13" max="13" width="0.74609375" style="1" customWidth="1"/>
    <col min="14" max="14" width="27.125" style="1" customWidth="1"/>
    <col min="15" max="15" width="0.74609375" style="1" customWidth="1"/>
    <col min="16" max="16" width="23.00390625" style="1" customWidth="1"/>
    <col min="17" max="17" width="0.875" style="1" customWidth="1"/>
    <col min="18" max="18" width="22.75390625" style="1" customWidth="1"/>
    <col min="19" max="16384" width="9.00390625" style="1" customWidth="1"/>
  </cols>
  <sheetData>
    <row r="1" spans="10:18" ht="23.25" customHeight="1">
      <c r="J1" s="926" t="s">
        <v>701</v>
      </c>
      <c r="R1" s="926" t="s">
        <v>700</v>
      </c>
    </row>
    <row r="2" ht="28.5" customHeight="1">
      <c r="J2" s="217"/>
    </row>
    <row r="3" spans="1:14" ht="23.25" customHeight="1">
      <c r="A3" s="1031" t="s">
        <v>1273</v>
      </c>
      <c r="B3" s="218"/>
      <c r="C3" s="219"/>
      <c r="D3" s="219"/>
      <c r="E3" s="219"/>
      <c r="F3" s="220"/>
      <c r="G3" s="221"/>
      <c r="H3" s="220"/>
      <c r="I3" s="222"/>
      <c r="J3" s="222"/>
      <c r="K3" s="1030" t="s">
        <v>1274</v>
      </c>
      <c r="L3" s="286"/>
      <c r="M3" s="286"/>
      <c r="N3" s="219"/>
    </row>
    <row r="4" spans="1:14" ht="13.5" customHeight="1" thickBot="1">
      <c r="A4" s="410"/>
      <c r="B4" s="218"/>
      <c r="C4" s="219"/>
      <c r="D4" s="219"/>
      <c r="E4" s="219"/>
      <c r="F4" s="220"/>
      <c r="G4" s="221"/>
      <c r="H4" s="220"/>
      <c r="I4" s="222"/>
      <c r="J4" s="222"/>
      <c r="K4" s="410"/>
      <c r="L4" s="286"/>
      <c r="M4" s="286"/>
      <c r="N4" s="219"/>
    </row>
    <row r="5" spans="1:18" ht="18" customHeight="1" thickBot="1">
      <c r="A5" s="981" t="s">
        <v>343</v>
      </c>
      <c r="B5" s="890"/>
      <c r="C5" s="219"/>
      <c r="D5" s="928" t="s">
        <v>645</v>
      </c>
      <c r="E5" s="219"/>
      <c r="F5" s="977" t="s">
        <v>344</v>
      </c>
      <c r="G5" s="221"/>
      <c r="H5" s="977" t="s">
        <v>345</v>
      </c>
      <c r="I5" s="220"/>
      <c r="J5" s="977" t="s">
        <v>120</v>
      </c>
      <c r="K5" s="981" t="s">
        <v>343</v>
      </c>
      <c r="L5" s="928" t="s">
        <v>645</v>
      </c>
      <c r="M5" s="550"/>
      <c r="N5" s="976" t="s">
        <v>344</v>
      </c>
      <c r="O5" s="1008"/>
      <c r="P5" s="1010" t="s">
        <v>345</v>
      </c>
      <c r="Q5" s="1008"/>
      <c r="R5" s="1010" t="s">
        <v>120</v>
      </c>
    </row>
    <row r="6" spans="1:18" ht="18" customHeight="1">
      <c r="A6" s="982" t="s">
        <v>648</v>
      </c>
      <c r="B6" s="889"/>
      <c r="C6" s="224"/>
      <c r="D6" s="927" t="s">
        <v>646</v>
      </c>
      <c r="E6" s="224"/>
      <c r="F6" s="978" t="s">
        <v>1219</v>
      </c>
      <c r="G6" s="979"/>
      <c r="H6" s="978" t="s">
        <v>1219</v>
      </c>
      <c r="I6" s="979"/>
      <c r="J6" s="978" t="s">
        <v>1219</v>
      </c>
      <c r="K6" s="1007" t="s">
        <v>648</v>
      </c>
      <c r="L6" s="927" t="s">
        <v>646</v>
      </c>
      <c r="M6" s="551"/>
      <c r="N6" s="978" t="s">
        <v>1219</v>
      </c>
      <c r="O6" s="979"/>
      <c r="P6" s="978" t="s">
        <v>1219</v>
      </c>
      <c r="Q6" s="1009"/>
      <c r="R6" s="978" t="s">
        <v>1219</v>
      </c>
    </row>
    <row r="7" spans="1:18" ht="18" customHeight="1" thickBot="1">
      <c r="A7" s="982" t="s">
        <v>647</v>
      </c>
      <c r="B7" s="889"/>
      <c r="C7" s="227"/>
      <c r="D7" s="927"/>
      <c r="E7" s="227"/>
      <c r="F7" s="980" t="s">
        <v>695</v>
      </c>
      <c r="G7" s="964"/>
      <c r="H7" s="980" t="s">
        <v>695</v>
      </c>
      <c r="I7" s="964"/>
      <c r="J7" s="980" t="s">
        <v>695</v>
      </c>
      <c r="K7" s="1007" t="s">
        <v>647</v>
      </c>
      <c r="L7" s="927"/>
      <c r="M7" s="552"/>
      <c r="N7" s="980" t="s">
        <v>695</v>
      </c>
      <c r="O7" s="964"/>
      <c r="P7" s="980" t="s">
        <v>695</v>
      </c>
      <c r="Q7" s="957"/>
      <c r="R7" s="980" t="s">
        <v>695</v>
      </c>
    </row>
    <row r="8" spans="1:18" ht="21.75" customHeight="1" thickBot="1" thickTop="1">
      <c r="A8" s="995" t="s">
        <v>358</v>
      </c>
      <c r="B8" s="970"/>
      <c r="C8" s="971"/>
      <c r="D8" s="972" t="s">
        <v>644</v>
      </c>
      <c r="E8" s="973"/>
      <c r="F8" s="974">
        <f>SUM(F9,F12,F15,F20,F26,F37,F42,F58,F60)</f>
        <v>62103.5</v>
      </c>
      <c r="G8" s="975"/>
      <c r="H8" s="974">
        <f>SUM(H9,H12,H15,H20,H26,H37,H42,H58,H60)</f>
        <v>69380</v>
      </c>
      <c r="I8" s="975"/>
      <c r="J8" s="974">
        <f>SUM(J9,J12,J15,J20,J26,J37,J42,J58,J60)</f>
        <v>33591</v>
      </c>
      <c r="K8" s="997" t="s">
        <v>358</v>
      </c>
      <c r="L8" s="972" t="s">
        <v>644</v>
      </c>
      <c r="M8" s="998"/>
      <c r="N8" s="974">
        <f>SUM(N9,N12,N15,N20,N26,N37,N42,N58,N60)</f>
        <v>59893.5</v>
      </c>
      <c r="O8" s="999"/>
      <c r="P8" s="974">
        <f>SUM(P9,P12,P15,P20,P26,P37,P42,P58,P60)</f>
        <v>103929</v>
      </c>
      <c r="Q8" s="1000"/>
      <c r="R8" s="974">
        <f>SUM(R9,R12,R15,R20,R26,R37,R42,R58,R60)</f>
        <v>1252</v>
      </c>
    </row>
    <row r="9" spans="1:18" ht="19.5" customHeight="1" thickBot="1" thickTop="1">
      <c r="A9" s="937" t="s">
        <v>254</v>
      </c>
      <c r="B9" s="938"/>
      <c r="C9" s="228"/>
      <c r="D9" s="929"/>
      <c r="E9" s="228"/>
      <c r="F9" s="952">
        <f>SUM(F10:F11)</f>
        <v>40</v>
      </c>
      <c r="G9" s="953"/>
      <c r="H9" s="952">
        <f>SUM(H10:H11)</f>
        <v>59288</v>
      </c>
      <c r="I9" s="953"/>
      <c r="J9" s="954">
        <f>SUM(J10:J11)</f>
        <v>0</v>
      </c>
      <c r="K9" s="983" t="s">
        <v>254</v>
      </c>
      <c r="L9" s="929"/>
      <c r="M9" s="553"/>
      <c r="N9" s="954">
        <f>SUM(N10:N11)</f>
        <v>136</v>
      </c>
      <c r="O9" s="996"/>
      <c r="P9" s="952">
        <f>SUM(P10:P11)</f>
        <v>72340</v>
      </c>
      <c r="Q9" s="1001"/>
      <c r="R9" s="952">
        <f>SUM(R10:R11)</f>
        <v>1252</v>
      </c>
    </row>
    <row r="10" spans="1:18" ht="18" customHeight="1" thickTop="1">
      <c r="A10" s="939"/>
      <c r="B10" s="940" t="s">
        <v>417</v>
      </c>
      <c r="C10" s="230"/>
      <c r="D10" s="930">
        <v>2333</v>
      </c>
      <c r="E10" s="230"/>
      <c r="F10" s="955">
        <f>akce_nová!B32</f>
        <v>40</v>
      </c>
      <c r="G10" s="956"/>
      <c r="H10" s="955">
        <f>položky!AL8+položky!AP8+položky!AQ8-J10-F10</f>
        <v>59288</v>
      </c>
      <c r="I10" s="956"/>
      <c r="J10" s="955">
        <v>0</v>
      </c>
      <c r="K10" s="984" t="s">
        <v>418</v>
      </c>
      <c r="L10" s="930">
        <v>2333</v>
      </c>
      <c r="M10" s="132"/>
      <c r="N10" s="955">
        <f>položky!AU8-P10</f>
        <v>136</v>
      </c>
      <c r="O10" s="996"/>
      <c r="P10" s="955">
        <f>položky!CU8+výdaje!B756</f>
        <v>72340</v>
      </c>
      <c r="Q10" s="1002"/>
      <c r="R10" s="955">
        <f>Financování!B22</f>
        <v>1252</v>
      </c>
    </row>
    <row r="11" spans="1:18" ht="18" customHeight="1" thickBot="1">
      <c r="A11" s="939"/>
      <c r="B11" s="940" t="s">
        <v>257</v>
      </c>
      <c r="C11" s="230"/>
      <c r="D11" s="930">
        <v>3722</v>
      </c>
      <c r="E11" s="230"/>
      <c r="F11" s="955">
        <f>položky!C9-H11</f>
        <v>0</v>
      </c>
      <c r="G11" s="957"/>
      <c r="H11" s="955">
        <v>0</v>
      </c>
      <c r="I11" s="957"/>
      <c r="J11" s="958">
        <v>0</v>
      </c>
      <c r="K11" s="984" t="s">
        <v>257</v>
      </c>
      <c r="L11" s="930">
        <v>3722</v>
      </c>
      <c r="M11" s="132"/>
      <c r="N11" s="955">
        <f>položky!AU9-P11</f>
        <v>0</v>
      </c>
      <c r="O11" s="996"/>
      <c r="P11" s="955">
        <f>položky!CU9</f>
        <v>0</v>
      </c>
      <c r="Q11" s="1002"/>
      <c r="R11" s="958">
        <v>0</v>
      </c>
    </row>
    <row r="12" spans="1:18" ht="19.5" customHeight="1" thickBot="1" thickTop="1">
      <c r="A12" s="941" t="s">
        <v>259</v>
      </c>
      <c r="B12" s="891"/>
      <c r="C12" s="231"/>
      <c r="D12" s="931"/>
      <c r="E12" s="231"/>
      <c r="F12" s="959">
        <f>SUM(F13:F14)</f>
        <v>0</v>
      </c>
      <c r="G12" s="953"/>
      <c r="H12" s="959">
        <f>SUM(H13:H14)</f>
        <v>2656</v>
      </c>
      <c r="I12" s="953"/>
      <c r="J12" s="960">
        <f>SUM(J13:J14)</f>
        <v>0</v>
      </c>
      <c r="K12" s="985" t="s">
        <v>259</v>
      </c>
      <c r="L12" s="931"/>
      <c r="M12" s="554"/>
      <c r="N12" s="959">
        <f>SUM(N13:N14)</f>
        <v>1017</v>
      </c>
      <c r="O12" s="996"/>
      <c r="P12" s="960">
        <f>SUM(P13:P14)</f>
        <v>3301</v>
      </c>
      <c r="Q12" s="1001"/>
      <c r="R12" s="959">
        <f>SUM(R13:R14)</f>
        <v>0</v>
      </c>
    </row>
    <row r="13" spans="1:18" ht="18" customHeight="1" thickTop="1">
      <c r="A13" s="939"/>
      <c r="B13" s="940" t="s">
        <v>260</v>
      </c>
      <c r="C13" s="226"/>
      <c r="D13" s="930">
        <v>2212</v>
      </c>
      <c r="E13" s="226"/>
      <c r="F13" s="955">
        <f>položky!C11-H13</f>
        <v>0</v>
      </c>
      <c r="G13" s="956"/>
      <c r="H13" s="955">
        <f>položky!AL11+položky!AP11</f>
        <v>0</v>
      </c>
      <c r="I13" s="956"/>
      <c r="J13" s="955">
        <f>Financování!B11</f>
        <v>0</v>
      </c>
      <c r="K13" s="984" t="s">
        <v>260</v>
      </c>
      <c r="L13" s="930">
        <v>2212</v>
      </c>
      <c r="M13" s="132"/>
      <c r="N13" s="955">
        <f>položky!AU11-P13</f>
        <v>1017</v>
      </c>
      <c r="O13" s="996"/>
      <c r="P13" s="955">
        <f>položky!CU11+výdaje!B757</f>
        <v>350</v>
      </c>
      <c r="Q13" s="1002"/>
      <c r="R13" s="955">
        <v>0</v>
      </c>
    </row>
    <row r="14" spans="1:18" ht="18" customHeight="1" thickBot="1">
      <c r="A14" s="939"/>
      <c r="B14" s="940" t="s">
        <v>261</v>
      </c>
      <c r="C14" s="226"/>
      <c r="D14" s="930">
        <v>2221</v>
      </c>
      <c r="E14" s="226"/>
      <c r="F14" s="955">
        <f>položky!C12-H14</f>
        <v>0</v>
      </c>
      <c r="G14" s="956"/>
      <c r="H14" s="955">
        <f>položky!AL12+příjmy!B172</f>
        <v>2656</v>
      </c>
      <c r="I14" s="956"/>
      <c r="J14" s="961">
        <v>0</v>
      </c>
      <c r="K14" s="984" t="s">
        <v>261</v>
      </c>
      <c r="L14" s="930">
        <v>2221</v>
      </c>
      <c r="M14" s="132"/>
      <c r="N14" s="955">
        <f>položky!AU12-P14</f>
        <v>0</v>
      </c>
      <c r="O14" s="996"/>
      <c r="P14" s="955">
        <f>položky!CU12</f>
        <v>2951</v>
      </c>
      <c r="Q14" s="1002"/>
      <c r="R14" s="961">
        <v>0</v>
      </c>
    </row>
    <row r="15" spans="1:18" ht="19.5" customHeight="1" thickBot="1" thickTop="1">
      <c r="A15" s="941" t="s">
        <v>262</v>
      </c>
      <c r="B15" s="891"/>
      <c r="C15" s="231"/>
      <c r="D15" s="931"/>
      <c r="E15" s="231"/>
      <c r="F15" s="960">
        <f>SUM(F16:F19)</f>
        <v>730</v>
      </c>
      <c r="G15" s="953"/>
      <c r="H15" s="960">
        <f>SUM(H16:H19)</f>
        <v>4252</v>
      </c>
      <c r="I15" s="953"/>
      <c r="J15" s="960">
        <f>SUM(J16:J19)</f>
        <v>0</v>
      </c>
      <c r="K15" s="985" t="s">
        <v>262</v>
      </c>
      <c r="L15" s="931"/>
      <c r="M15" s="554"/>
      <c r="N15" s="960">
        <f>SUM(N16:N19)</f>
        <v>5400</v>
      </c>
      <c r="O15" s="996"/>
      <c r="P15" s="960">
        <f>SUM(P16:P19)</f>
        <v>9485</v>
      </c>
      <c r="Q15" s="1003"/>
      <c r="R15" s="960">
        <f>SUM(R16:R19)</f>
        <v>0</v>
      </c>
    </row>
    <row r="16" spans="1:20" ht="18" customHeight="1" thickTop="1">
      <c r="A16" s="942"/>
      <c r="B16" s="943" t="s">
        <v>359</v>
      </c>
      <c r="C16" s="232"/>
      <c r="D16" s="932">
        <v>3119</v>
      </c>
      <c r="E16" s="232"/>
      <c r="F16" s="955">
        <f>položky!C14</f>
        <v>0</v>
      </c>
      <c r="G16" s="962"/>
      <c r="H16" s="963">
        <v>0</v>
      </c>
      <c r="I16" s="962"/>
      <c r="J16" s="963">
        <v>0</v>
      </c>
      <c r="K16" s="986" t="s">
        <v>359</v>
      </c>
      <c r="L16" s="932">
        <v>3119</v>
      </c>
      <c r="M16" s="132"/>
      <c r="N16" s="963">
        <f>položky!AU14-P16</f>
        <v>4670</v>
      </c>
      <c r="O16" s="1004"/>
      <c r="P16" s="963">
        <f>položky!CV14</f>
        <v>1065</v>
      </c>
      <c r="Q16" s="1002"/>
      <c r="R16" s="963">
        <v>0</v>
      </c>
      <c r="S16" s="163"/>
      <c r="T16" s="163"/>
    </row>
    <row r="17" spans="1:18" ht="18" customHeight="1">
      <c r="A17" s="939"/>
      <c r="B17" s="944" t="s">
        <v>360</v>
      </c>
      <c r="C17" s="226"/>
      <c r="D17" s="930">
        <v>3119</v>
      </c>
      <c r="E17" s="226"/>
      <c r="F17" s="955">
        <f>položky!C15-H17</f>
        <v>0</v>
      </c>
      <c r="G17" s="964"/>
      <c r="H17" s="955">
        <f>položky!AL15</f>
        <v>0</v>
      </c>
      <c r="I17" s="964"/>
      <c r="J17" s="955">
        <v>0</v>
      </c>
      <c r="K17" s="987" t="s">
        <v>360</v>
      </c>
      <c r="L17" s="930">
        <v>3119</v>
      </c>
      <c r="M17" s="555"/>
      <c r="N17" s="955">
        <f>položky!AU15-P17</f>
        <v>0</v>
      </c>
      <c r="O17" s="1004"/>
      <c r="P17" s="955">
        <f>položky!CU15</f>
        <v>0</v>
      </c>
      <c r="Q17" s="1002"/>
      <c r="R17" s="955">
        <v>0</v>
      </c>
    </row>
    <row r="18" spans="1:18" ht="18" customHeight="1">
      <c r="A18" s="939"/>
      <c r="B18" s="940" t="s">
        <v>361</v>
      </c>
      <c r="C18" s="226"/>
      <c r="D18" s="930">
        <v>3119</v>
      </c>
      <c r="E18" s="226"/>
      <c r="F18" s="955">
        <f>položky!C16-H18</f>
        <v>0</v>
      </c>
      <c r="G18" s="964"/>
      <c r="H18" s="955">
        <f>položky!AL16</f>
        <v>0</v>
      </c>
      <c r="I18" s="964"/>
      <c r="J18" s="958">
        <v>0</v>
      </c>
      <c r="K18" s="984" t="s">
        <v>361</v>
      </c>
      <c r="L18" s="930">
        <v>3119</v>
      </c>
      <c r="M18" s="132"/>
      <c r="N18" s="955">
        <f>položky!AU16-P18</f>
        <v>0</v>
      </c>
      <c r="O18" s="1004"/>
      <c r="P18" s="955">
        <f>položky!CU16</f>
        <v>0</v>
      </c>
      <c r="Q18" s="1002"/>
      <c r="R18" s="958">
        <v>0</v>
      </c>
    </row>
    <row r="19" spans="1:18" ht="18" customHeight="1" thickBot="1">
      <c r="A19" s="939"/>
      <c r="B19" s="940" t="s">
        <v>266</v>
      </c>
      <c r="C19" s="226"/>
      <c r="D19" s="930">
        <v>3119</v>
      </c>
      <c r="E19" s="226"/>
      <c r="F19" s="955">
        <f>položky!AP17+položky!AQ17+položky!M17-H19</f>
        <v>730</v>
      </c>
      <c r="G19" s="964"/>
      <c r="H19" s="955">
        <f>příjmy!B253+příjmy!B254</f>
        <v>4252</v>
      </c>
      <c r="I19" s="964"/>
      <c r="J19" s="958">
        <v>0</v>
      </c>
      <c r="K19" s="984" t="s">
        <v>266</v>
      </c>
      <c r="L19" s="930">
        <v>3119</v>
      </c>
      <c r="M19" s="132"/>
      <c r="N19" s="955">
        <f>položky!AU17-P19</f>
        <v>730</v>
      </c>
      <c r="O19" s="1004"/>
      <c r="P19" s="955">
        <f>položky!CU17</f>
        <v>8420</v>
      </c>
      <c r="Q19" s="1002"/>
      <c r="R19" s="958">
        <v>0</v>
      </c>
    </row>
    <row r="20" spans="1:18" ht="19.5" customHeight="1" thickBot="1" thickTop="1">
      <c r="A20" s="941" t="s">
        <v>267</v>
      </c>
      <c r="B20" s="891"/>
      <c r="C20" s="231"/>
      <c r="D20" s="931"/>
      <c r="E20" s="231"/>
      <c r="F20" s="960">
        <f>SUM(F22:F25)</f>
        <v>270</v>
      </c>
      <c r="G20" s="953"/>
      <c r="H20" s="960">
        <f>SUM(H22:H25)</f>
        <v>0</v>
      </c>
      <c r="I20" s="953"/>
      <c r="J20" s="960">
        <f>SUM(J22:J25)</f>
        <v>0</v>
      </c>
      <c r="K20" s="985" t="s">
        <v>267</v>
      </c>
      <c r="L20" s="931"/>
      <c r="M20" s="554"/>
      <c r="N20" s="960">
        <f>SUM(N22:N25)</f>
        <v>1819</v>
      </c>
      <c r="O20" s="996"/>
      <c r="P20" s="960">
        <f>SUM(P22:P25)</f>
        <v>615</v>
      </c>
      <c r="Q20" s="1003"/>
      <c r="R20" s="960">
        <f>SUM(R22:R25)</f>
        <v>0</v>
      </c>
    </row>
    <row r="21" spans="1:18" ht="18" customHeight="1" thickBot="1" thickTop="1">
      <c r="A21" s="941"/>
      <c r="B21" s="945" t="s">
        <v>414</v>
      </c>
      <c r="C21" s="507"/>
      <c r="D21" s="933"/>
      <c r="E21" s="507"/>
      <c r="F21" s="965">
        <f>SUM(F22:F25)</f>
        <v>270</v>
      </c>
      <c r="G21" s="966"/>
      <c r="H21" s="965">
        <f>SUM(H22:H25)</f>
        <v>0</v>
      </c>
      <c r="I21" s="966"/>
      <c r="J21" s="965">
        <f>SUM(J22:J25)</f>
        <v>0</v>
      </c>
      <c r="K21" s="988" t="s">
        <v>414</v>
      </c>
      <c r="L21" s="933"/>
      <c r="M21" s="556"/>
      <c r="N21" s="965">
        <f>SUM(N22:N25)</f>
        <v>1819</v>
      </c>
      <c r="O21" s="1005"/>
      <c r="P21" s="965">
        <f>SUM(P22:P25)</f>
        <v>615</v>
      </c>
      <c r="Q21" s="1006"/>
      <c r="R21" s="965">
        <f>SUM(R22:R25)</f>
        <v>0</v>
      </c>
    </row>
    <row r="22" spans="1:18" ht="18" customHeight="1" thickTop="1">
      <c r="A22" s="939"/>
      <c r="B22" s="946" t="s">
        <v>276</v>
      </c>
      <c r="C22" s="226"/>
      <c r="D22" s="930">
        <v>3313</v>
      </c>
      <c r="E22" s="226"/>
      <c r="F22" s="955">
        <f>položky!C20-H22</f>
        <v>65</v>
      </c>
      <c r="G22" s="964"/>
      <c r="H22" s="955">
        <f>položky!AL20+položky!AP20+položky!AQ20</f>
        <v>0</v>
      </c>
      <c r="I22" s="964"/>
      <c r="J22" s="955">
        <v>0</v>
      </c>
      <c r="K22" s="989" t="s">
        <v>276</v>
      </c>
      <c r="L22" s="930">
        <v>3313</v>
      </c>
      <c r="M22" s="557"/>
      <c r="N22" s="955">
        <f>položky!AU20-P22</f>
        <v>930</v>
      </c>
      <c r="O22" s="1004"/>
      <c r="P22" s="955">
        <f>položky!CU20</f>
        <v>615</v>
      </c>
      <c r="Q22" s="1002"/>
      <c r="R22" s="955">
        <v>0</v>
      </c>
    </row>
    <row r="23" spans="1:18" ht="18" customHeight="1">
      <c r="A23" s="939"/>
      <c r="B23" s="946" t="s">
        <v>147</v>
      </c>
      <c r="C23" s="226"/>
      <c r="D23" s="930">
        <v>3319</v>
      </c>
      <c r="E23" s="226"/>
      <c r="F23" s="955">
        <f>položky!C21-H23</f>
        <v>0</v>
      </c>
      <c r="G23" s="964"/>
      <c r="H23" s="955">
        <f>položky!AL21</f>
        <v>0</v>
      </c>
      <c r="I23" s="964"/>
      <c r="J23" s="958">
        <v>0</v>
      </c>
      <c r="K23" s="989" t="s">
        <v>147</v>
      </c>
      <c r="L23" s="930">
        <v>3319</v>
      </c>
      <c r="M23" s="557"/>
      <c r="N23" s="955">
        <f>položky!AU21-P23</f>
        <v>96</v>
      </c>
      <c r="O23" s="1004"/>
      <c r="P23" s="955">
        <f>položky!CU21</f>
        <v>0</v>
      </c>
      <c r="Q23" s="1002"/>
      <c r="R23" s="958">
        <v>0</v>
      </c>
    </row>
    <row r="24" spans="1:18" ht="18" customHeight="1">
      <c r="A24" s="939"/>
      <c r="B24" s="946" t="s">
        <v>148</v>
      </c>
      <c r="C24" s="226"/>
      <c r="D24" s="930">
        <v>3314</v>
      </c>
      <c r="E24" s="226"/>
      <c r="F24" s="955">
        <f>položky!C22-H24</f>
        <v>5</v>
      </c>
      <c r="G24" s="964"/>
      <c r="H24" s="955">
        <f>položky!AL22</f>
        <v>0</v>
      </c>
      <c r="I24" s="964"/>
      <c r="J24" s="958">
        <v>0</v>
      </c>
      <c r="K24" s="989" t="s">
        <v>148</v>
      </c>
      <c r="L24" s="930">
        <v>3314</v>
      </c>
      <c r="M24" s="557"/>
      <c r="N24" s="955">
        <f>položky!AU22-P24</f>
        <v>264</v>
      </c>
      <c r="O24" s="1004"/>
      <c r="P24" s="955">
        <f>položky!CU22</f>
        <v>0</v>
      </c>
      <c r="Q24" s="1002"/>
      <c r="R24" s="958">
        <v>0</v>
      </c>
    </row>
    <row r="25" spans="1:18" ht="18" customHeight="1" thickBot="1">
      <c r="A25" s="939"/>
      <c r="B25" s="947" t="s">
        <v>149</v>
      </c>
      <c r="C25" s="226"/>
      <c r="D25" s="934">
        <v>3319</v>
      </c>
      <c r="E25" s="226"/>
      <c r="F25" s="955">
        <f>položky!C23</f>
        <v>200</v>
      </c>
      <c r="G25" s="964"/>
      <c r="H25" s="955">
        <f>položky!AL23</f>
        <v>0</v>
      </c>
      <c r="I25" s="964"/>
      <c r="J25" s="961">
        <v>0</v>
      </c>
      <c r="K25" s="990" t="s">
        <v>149</v>
      </c>
      <c r="L25" s="934">
        <v>3319</v>
      </c>
      <c r="M25" s="557"/>
      <c r="N25" s="955">
        <f>položky!AU23-P25</f>
        <v>529</v>
      </c>
      <c r="O25" s="1004"/>
      <c r="P25" s="955">
        <f>položky!CU23</f>
        <v>0</v>
      </c>
      <c r="Q25" s="1002"/>
      <c r="R25" s="961">
        <v>0</v>
      </c>
    </row>
    <row r="26" spans="1:18" ht="19.5" customHeight="1" thickBot="1" thickTop="1">
      <c r="A26" s="941" t="s">
        <v>268</v>
      </c>
      <c r="B26" s="891"/>
      <c r="C26" s="231"/>
      <c r="D26" s="931"/>
      <c r="E26" s="231"/>
      <c r="F26" s="960">
        <f>SUM(F27:F36)</f>
        <v>3642.5</v>
      </c>
      <c r="G26" s="953"/>
      <c r="H26" s="960">
        <f>SUM(H27:H36)</f>
        <v>1515</v>
      </c>
      <c r="I26" s="953"/>
      <c r="J26" s="960">
        <f>SUM(J27:J36)</f>
        <v>0</v>
      </c>
      <c r="K26" s="985" t="s">
        <v>268</v>
      </c>
      <c r="L26" s="931"/>
      <c r="M26" s="554"/>
      <c r="N26" s="960">
        <f>SUM(N27:N36)</f>
        <v>14301.5</v>
      </c>
      <c r="O26" s="996"/>
      <c r="P26" s="960">
        <f>SUM(P27:P36)</f>
        <v>3850</v>
      </c>
      <c r="Q26" s="1003"/>
      <c r="R26" s="960">
        <f>SUM(R27:R36)</f>
        <v>0</v>
      </c>
    </row>
    <row r="27" spans="1:18" ht="18" customHeight="1" thickTop="1">
      <c r="A27" s="948"/>
      <c r="B27" s="940" t="s">
        <v>269</v>
      </c>
      <c r="C27" s="226"/>
      <c r="D27" s="930">
        <v>5512</v>
      </c>
      <c r="E27" s="226"/>
      <c r="F27" s="955">
        <f>položky!C25-H27</f>
        <v>180.5</v>
      </c>
      <c r="G27" s="964"/>
      <c r="H27" s="955">
        <f>položky!AL25</f>
        <v>0</v>
      </c>
      <c r="I27" s="964"/>
      <c r="J27" s="955">
        <v>0</v>
      </c>
      <c r="K27" s="984" t="s">
        <v>269</v>
      </c>
      <c r="L27" s="930">
        <v>5512</v>
      </c>
      <c r="M27" s="132"/>
      <c r="N27" s="955">
        <f>položky!AU25-P27</f>
        <v>712.5</v>
      </c>
      <c r="O27" s="1004"/>
      <c r="P27" s="955">
        <f>položky!CU25</f>
        <v>0</v>
      </c>
      <c r="Q27" s="1002"/>
      <c r="R27" s="955">
        <v>0</v>
      </c>
    </row>
    <row r="28" spans="1:18" ht="18" customHeight="1">
      <c r="A28" s="939"/>
      <c r="B28" s="940" t="s">
        <v>270</v>
      </c>
      <c r="C28" s="226"/>
      <c r="D28" s="930">
        <v>6112</v>
      </c>
      <c r="E28" s="226"/>
      <c r="F28" s="955">
        <f>položky!C26-H28</f>
        <v>0</v>
      </c>
      <c r="G28" s="964"/>
      <c r="H28" s="955">
        <f>položky!AL26</f>
        <v>0</v>
      </c>
      <c r="I28" s="964"/>
      <c r="J28" s="958">
        <v>0</v>
      </c>
      <c r="K28" s="984" t="s">
        <v>270</v>
      </c>
      <c r="L28" s="930">
        <v>6112</v>
      </c>
      <c r="M28" s="132"/>
      <c r="N28" s="955">
        <f>položky!AU26-P28</f>
        <v>1558</v>
      </c>
      <c r="O28" s="1004"/>
      <c r="P28" s="955">
        <f>položky!CU26</f>
        <v>0</v>
      </c>
      <c r="Q28" s="1002"/>
      <c r="R28" s="958">
        <v>0</v>
      </c>
    </row>
    <row r="29" spans="1:18" ht="18" customHeight="1">
      <c r="A29" s="939"/>
      <c r="B29" s="940" t="s">
        <v>314</v>
      </c>
      <c r="C29" s="226"/>
      <c r="D29" s="930">
        <v>6171</v>
      </c>
      <c r="E29" s="226"/>
      <c r="F29" s="955">
        <f>položky!C27-H29</f>
        <v>1348</v>
      </c>
      <c r="G29" s="964"/>
      <c r="H29" s="955">
        <f>příjmy!B114</f>
        <v>115</v>
      </c>
      <c r="I29" s="964"/>
      <c r="J29" s="958">
        <v>0</v>
      </c>
      <c r="K29" s="984" t="s">
        <v>314</v>
      </c>
      <c r="L29" s="930">
        <v>6171</v>
      </c>
      <c r="M29" s="132"/>
      <c r="N29" s="955">
        <f>položky!AU27-P29</f>
        <v>8310</v>
      </c>
      <c r="O29" s="1004"/>
      <c r="P29" s="955">
        <f>položky!CU27</f>
        <v>0</v>
      </c>
      <c r="Q29" s="1002"/>
      <c r="R29" s="958">
        <v>0</v>
      </c>
    </row>
    <row r="30" spans="1:18" ht="18" customHeight="1">
      <c r="A30" s="939"/>
      <c r="B30" s="940" t="s">
        <v>290</v>
      </c>
      <c r="C30" s="226"/>
      <c r="D30" s="930">
        <v>6171</v>
      </c>
      <c r="E30" s="226"/>
      <c r="F30" s="955">
        <f>položky!C28-H30</f>
        <v>18</v>
      </c>
      <c r="G30" s="964"/>
      <c r="H30" s="955">
        <v>0</v>
      </c>
      <c r="I30" s="964"/>
      <c r="J30" s="958">
        <v>0</v>
      </c>
      <c r="K30" s="984" t="s">
        <v>290</v>
      </c>
      <c r="L30" s="930">
        <v>6171</v>
      </c>
      <c r="M30" s="132"/>
      <c r="N30" s="955">
        <f>položky!AU28-P30</f>
        <v>780</v>
      </c>
      <c r="O30" s="1004"/>
      <c r="P30" s="955">
        <f>položky!CU28</f>
        <v>0</v>
      </c>
      <c r="Q30" s="1002"/>
      <c r="R30" s="958">
        <v>0</v>
      </c>
    </row>
    <row r="31" spans="1:18" ht="18" customHeight="1">
      <c r="A31" s="939"/>
      <c r="B31" s="940" t="s">
        <v>292</v>
      </c>
      <c r="C31" s="226"/>
      <c r="D31" s="930">
        <v>2141</v>
      </c>
      <c r="E31" s="226"/>
      <c r="F31" s="955">
        <f>položky!C29-H31</f>
        <v>25</v>
      </c>
      <c r="G31" s="964"/>
      <c r="H31" s="955">
        <f>položky!AL29</f>
        <v>0</v>
      </c>
      <c r="I31" s="964"/>
      <c r="J31" s="958">
        <v>0</v>
      </c>
      <c r="K31" s="984" t="s">
        <v>292</v>
      </c>
      <c r="L31" s="930">
        <v>2141</v>
      </c>
      <c r="M31" s="132"/>
      <c r="N31" s="955">
        <f>položky!AU29-P31</f>
        <v>1209</v>
      </c>
      <c r="O31" s="1004"/>
      <c r="P31" s="955">
        <f>výdaje!B775</f>
        <v>0</v>
      </c>
      <c r="Q31" s="1002"/>
      <c r="R31" s="958">
        <v>0</v>
      </c>
    </row>
    <row r="32" spans="1:18" ht="18" customHeight="1">
      <c r="A32" s="939"/>
      <c r="B32" s="940" t="s">
        <v>315</v>
      </c>
      <c r="C32" s="226"/>
      <c r="D32" s="930">
        <v>6171</v>
      </c>
      <c r="E32" s="226"/>
      <c r="F32" s="955">
        <f>položky!C30-H32</f>
        <v>221</v>
      </c>
      <c r="G32" s="964"/>
      <c r="H32" s="955">
        <f>položky!AL30</f>
        <v>0</v>
      </c>
      <c r="I32" s="964"/>
      <c r="J32" s="958">
        <v>0</v>
      </c>
      <c r="K32" s="984" t="s">
        <v>315</v>
      </c>
      <c r="L32" s="930">
        <v>6171</v>
      </c>
      <c r="M32" s="132"/>
      <c r="N32" s="955">
        <f>položky!AU30-P32</f>
        <v>650</v>
      </c>
      <c r="O32" s="1004"/>
      <c r="P32" s="955">
        <f>položky!CU30</f>
        <v>550</v>
      </c>
      <c r="Q32" s="1002"/>
      <c r="R32" s="958">
        <v>0</v>
      </c>
    </row>
    <row r="33" spans="1:18" ht="18" customHeight="1">
      <c r="A33" s="939"/>
      <c r="B33" s="940" t="s">
        <v>316</v>
      </c>
      <c r="C33" s="226"/>
      <c r="D33" s="930">
        <v>6171</v>
      </c>
      <c r="E33" s="226"/>
      <c r="F33" s="955">
        <f>položky!C31-H33</f>
        <v>690</v>
      </c>
      <c r="G33" s="964"/>
      <c r="H33" s="955">
        <f>položky!AL31</f>
        <v>0</v>
      </c>
      <c r="I33" s="964"/>
      <c r="J33" s="958">
        <v>0</v>
      </c>
      <c r="K33" s="984" t="s">
        <v>316</v>
      </c>
      <c r="L33" s="930">
        <v>6171</v>
      </c>
      <c r="M33" s="132"/>
      <c r="N33" s="955">
        <f>položky!AU31-P33</f>
        <v>460</v>
      </c>
      <c r="O33" s="1004"/>
      <c r="P33" s="955">
        <f>položky!CU31</f>
        <v>3000</v>
      </c>
      <c r="Q33" s="1002"/>
      <c r="R33" s="958">
        <v>0</v>
      </c>
    </row>
    <row r="34" spans="1:18" ht="18" customHeight="1">
      <c r="A34" s="939"/>
      <c r="B34" s="940" t="s">
        <v>362</v>
      </c>
      <c r="C34" s="226"/>
      <c r="D34" s="930">
        <v>6171</v>
      </c>
      <c r="E34" s="226"/>
      <c r="F34" s="955">
        <f>položky!C32-H34</f>
        <v>888</v>
      </c>
      <c r="G34" s="964"/>
      <c r="H34" s="955">
        <f>položky!AL32</f>
        <v>0</v>
      </c>
      <c r="I34" s="964"/>
      <c r="J34" s="958">
        <v>0</v>
      </c>
      <c r="K34" s="984" t="s">
        <v>362</v>
      </c>
      <c r="L34" s="930">
        <v>6171</v>
      </c>
      <c r="M34" s="132"/>
      <c r="N34" s="955">
        <f>položky!AU32-P34</f>
        <v>92</v>
      </c>
      <c r="O34" s="1004"/>
      <c r="P34" s="955">
        <f>položky!CU32</f>
        <v>200</v>
      </c>
      <c r="Q34" s="1002"/>
      <c r="R34" s="958">
        <v>0</v>
      </c>
    </row>
    <row r="35" spans="1:18" ht="18" customHeight="1">
      <c r="A35" s="939"/>
      <c r="B35" s="940" t="s">
        <v>318</v>
      </c>
      <c r="C35" s="226"/>
      <c r="D35" s="930">
        <v>6171</v>
      </c>
      <c r="E35" s="226"/>
      <c r="F35" s="955">
        <f>položky!C33-H35</f>
        <v>262</v>
      </c>
      <c r="G35" s="964"/>
      <c r="H35" s="955">
        <f>položky!AL33</f>
        <v>0</v>
      </c>
      <c r="I35" s="964"/>
      <c r="J35" s="958">
        <v>0</v>
      </c>
      <c r="K35" s="984" t="s">
        <v>318</v>
      </c>
      <c r="L35" s="930">
        <v>6171</v>
      </c>
      <c r="M35" s="132"/>
      <c r="N35" s="955">
        <f>položky!AU33-P35</f>
        <v>160</v>
      </c>
      <c r="O35" s="1004"/>
      <c r="P35" s="955">
        <f>položky!CU33</f>
        <v>100</v>
      </c>
      <c r="Q35" s="1002"/>
      <c r="R35" s="958">
        <v>0</v>
      </c>
    </row>
    <row r="36" spans="1:18" ht="18" customHeight="1" thickBot="1">
      <c r="A36" s="939"/>
      <c r="B36" s="940" t="s">
        <v>363</v>
      </c>
      <c r="C36" s="226"/>
      <c r="D36" s="930">
        <v>6171</v>
      </c>
      <c r="E36" s="226"/>
      <c r="F36" s="955">
        <f>položky!C34-H36</f>
        <v>10</v>
      </c>
      <c r="G36" s="964"/>
      <c r="H36" s="955">
        <f>položky!AL34</f>
        <v>1400</v>
      </c>
      <c r="I36" s="964"/>
      <c r="J36" s="958">
        <v>0</v>
      </c>
      <c r="K36" s="984" t="s">
        <v>363</v>
      </c>
      <c r="L36" s="930">
        <v>6171</v>
      </c>
      <c r="M36" s="132"/>
      <c r="N36" s="955">
        <f>položky!AU34-P36</f>
        <v>370</v>
      </c>
      <c r="O36" s="1004"/>
      <c r="P36" s="955">
        <f>položky!CU34</f>
        <v>0</v>
      </c>
      <c r="Q36" s="1002"/>
      <c r="R36" s="958">
        <v>0</v>
      </c>
    </row>
    <row r="37" spans="1:18" ht="19.5" customHeight="1" thickBot="1" thickTop="1">
      <c r="A37" s="941" t="s">
        <v>320</v>
      </c>
      <c r="B37" s="891"/>
      <c r="C37" s="231"/>
      <c r="D37" s="931"/>
      <c r="E37" s="231"/>
      <c r="F37" s="960">
        <f>SUM(F38:F41)</f>
        <v>9428</v>
      </c>
      <c r="G37" s="953"/>
      <c r="H37" s="960">
        <f>SUM(H38:H41)</f>
        <v>0</v>
      </c>
      <c r="I37" s="953"/>
      <c r="J37" s="960">
        <f>SUM(J38:J41)</f>
        <v>0</v>
      </c>
      <c r="K37" s="985" t="s">
        <v>320</v>
      </c>
      <c r="L37" s="931"/>
      <c r="M37" s="554"/>
      <c r="N37" s="960">
        <f>SUM(N38:N41)</f>
        <v>10114</v>
      </c>
      <c r="O37" s="996"/>
      <c r="P37" s="960">
        <f>SUM(P38:P41)</f>
        <v>3</v>
      </c>
      <c r="Q37" s="1003"/>
      <c r="R37" s="960">
        <f>SUM(R38:R41)</f>
        <v>0</v>
      </c>
    </row>
    <row r="38" spans="1:18" ht="18" customHeight="1" thickTop="1">
      <c r="A38" s="939"/>
      <c r="B38" s="940" t="s">
        <v>321</v>
      </c>
      <c r="C38" s="226"/>
      <c r="D38" s="930">
        <v>4319</v>
      </c>
      <c r="E38" s="226"/>
      <c r="F38" s="955">
        <f>položky!C36-H38</f>
        <v>0</v>
      </c>
      <c r="G38" s="964"/>
      <c r="H38" s="955">
        <f>položky!AL36</f>
        <v>0</v>
      </c>
      <c r="I38" s="964"/>
      <c r="J38" s="955">
        <v>0</v>
      </c>
      <c r="K38" s="984" t="s">
        <v>321</v>
      </c>
      <c r="L38" s="930">
        <v>4319</v>
      </c>
      <c r="M38" s="132"/>
      <c r="N38" s="955">
        <f>položky!AU36-P38</f>
        <v>12</v>
      </c>
      <c r="O38" s="1004"/>
      <c r="P38" s="955">
        <f>položky!CU36</f>
        <v>0</v>
      </c>
      <c r="Q38" s="1002"/>
      <c r="R38" s="955">
        <v>0</v>
      </c>
    </row>
    <row r="39" spans="1:18" ht="18" customHeight="1">
      <c r="A39" s="939"/>
      <c r="B39" s="940" t="s">
        <v>364</v>
      </c>
      <c r="C39" s="226"/>
      <c r="D39" s="930">
        <v>4226</v>
      </c>
      <c r="E39" s="226"/>
      <c r="F39" s="955">
        <f>položky!C37-H39</f>
        <v>258</v>
      </c>
      <c r="G39" s="964"/>
      <c r="H39" s="955">
        <f>položky!AL37</f>
        <v>0</v>
      </c>
      <c r="I39" s="964"/>
      <c r="J39" s="961">
        <v>0</v>
      </c>
      <c r="K39" s="984" t="s">
        <v>364</v>
      </c>
      <c r="L39" s="930">
        <v>4226</v>
      </c>
      <c r="M39" s="132"/>
      <c r="N39" s="955">
        <f>položky!AU37-P39</f>
        <v>370</v>
      </c>
      <c r="O39" s="1004"/>
      <c r="P39" s="955">
        <f>položky!CU37</f>
        <v>0</v>
      </c>
      <c r="Q39" s="1002"/>
      <c r="R39" s="961">
        <v>0</v>
      </c>
    </row>
    <row r="40" spans="1:18" ht="18" customHeight="1">
      <c r="A40" s="939"/>
      <c r="B40" s="940" t="s">
        <v>365</v>
      </c>
      <c r="C40" s="226"/>
      <c r="D40" s="930">
        <v>4226</v>
      </c>
      <c r="E40" s="226"/>
      <c r="F40" s="955">
        <f>položky!C38</f>
        <v>7151</v>
      </c>
      <c r="G40" s="964"/>
      <c r="H40" s="955">
        <v>0</v>
      </c>
      <c r="I40" s="964"/>
      <c r="J40" s="961">
        <v>0</v>
      </c>
      <c r="K40" s="984" t="s">
        <v>365</v>
      </c>
      <c r="L40" s="930">
        <v>4226</v>
      </c>
      <c r="M40" s="558"/>
      <c r="N40" s="955">
        <f>položky!AU38-P40</f>
        <v>8183</v>
      </c>
      <c r="O40" s="1004"/>
      <c r="P40" s="955">
        <f>výdaje!B726+výdaje!B727</f>
        <v>3</v>
      </c>
      <c r="Q40" s="1002"/>
      <c r="R40" s="961">
        <v>0</v>
      </c>
    </row>
    <row r="41" spans="1:18" ht="18" customHeight="1" thickBot="1">
      <c r="A41" s="939"/>
      <c r="B41" s="949" t="s">
        <v>324</v>
      </c>
      <c r="C41" s="226"/>
      <c r="D41" s="935">
        <v>4351</v>
      </c>
      <c r="E41" s="226"/>
      <c r="F41" s="955">
        <f>položky!C39-H41</f>
        <v>2019</v>
      </c>
      <c r="G41" s="964"/>
      <c r="H41" s="955">
        <f>položky!AL39+položky!AP39</f>
        <v>0</v>
      </c>
      <c r="I41" s="964"/>
      <c r="J41" s="961">
        <v>0</v>
      </c>
      <c r="K41" s="991" t="s">
        <v>324</v>
      </c>
      <c r="L41" s="935">
        <v>4351</v>
      </c>
      <c r="M41" s="559"/>
      <c r="N41" s="955">
        <f>položky!AU39-P41</f>
        <v>1549</v>
      </c>
      <c r="O41" s="1004"/>
      <c r="P41" s="955">
        <f>položky!CU39</f>
        <v>0</v>
      </c>
      <c r="Q41" s="1002"/>
      <c r="R41" s="961">
        <v>0</v>
      </c>
    </row>
    <row r="42" spans="1:18" ht="19.5" customHeight="1" thickBot="1" thickTop="1">
      <c r="A42" s="941" t="s">
        <v>325</v>
      </c>
      <c r="B42" s="891"/>
      <c r="C42" s="231"/>
      <c r="D42" s="931"/>
      <c r="E42" s="231"/>
      <c r="F42" s="960">
        <f>SUM(F43:F57)</f>
        <v>10866</v>
      </c>
      <c r="G42" s="953"/>
      <c r="H42" s="960">
        <f>SUM(H43:H57)</f>
        <v>1669</v>
      </c>
      <c r="I42" s="953"/>
      <c r="J42" s="960">
        <f>SUM(J43:J57)</f>
        <v>0</v>
      </c>
      <c r="K42" s="985" t="s">
        <v>325</v>
      </c>
      <c r="L42" s="931"/>
      <c r="M42" s="554"/>
      <c r="N42" s="960">
        <f>SUM(N43:N57)</f>
        <v>21869</v>
      </c>
      <c r="O42" s="996"/>
      <c r="P42" s="960">
        <f>SUM(P43:P57)</f>
        <v>3044</v>
      </c>
      <c r="Q42" s="1003"/>
      <c r="R42" s="960">
        <f>SUM(R43:R57)</f>
        <v>0</v>
      </c>
    </row>
    <row r="43" spans="1:18" ht="18" customHeight="1" thickTop="1">
      <c r="A43" s="942"/>
      <c r="B43" s="940" t="s">
        <v>326</v>
      </c>
      <c r="C43" s="226"/>
      <c r="D43" s="930">
        <v>3612</v>
      </c>
      <c r="E43" s="226"/>
      <c r="F43" s="955">
        <f>položky!C41</f>
        <v>0</v>
      </c>
      <c r="G43" s="964"/>
      <c r="H43" s="955">
        <f>položky!AQ41</f>
        <v>0</v>
      </c>
      <c r="I43" s="964"/>
      <c r="J43" s="955">
        <v>0</v>
      </c>
      <c r="K43" s="992" t="s">
        <v>326</v>
      </c>
      <c r="L43" s="930">
        <v>3612</v>
      </c>
      <c r="M43" s="560"/>
      <c r="N43" s="955">
        <f>položky!AU41</f>
        <v>292</v>
      </c>
      <c r="O43" s="1004"/>
      <c r="P43" s="955">
        <f>položky!AU41-kapitoly!N43</f>
        <v>0</v>
      </c>
      <c r="Q43" s="1002"/>
      <c r="R43" s="955">
        <v>0</v>
      </c>
    </row>
    <row r="44" spans="1:18" ht="18" customHeight="1">
      <c r="A44" s="939"/>
      <c r="B44" s="940" t="s">
        <v>294</v>
      </c>
      <c r="C44" s="226"/>
      <c r="D44" s="930">
        <v>3612</v>
      </c>
      <c r="E44" s="226"/>
      <c r="F44" s="955">
        <f>položky!C42-H44</f>
        <v>2509</v>
      </c>
      <c r="G44" s="964"/>
      <c r="H44" s="955">
        <f>položky!AL42</f>
        <v>0</v>
      </c>
      <c r="I44" s="964"/>
      <c r="J44" s="958">
        <v>0</v>
      </c>
      <c r="K44" s="992" t="s">
        <v>294</v>
      </c>
      <c r="L44" s="930">
        <v>3612</v>
      </c>
      <c r="M44" s="560"/>
      <c r="N44" s="955">
        <f>položky!AU42-P44</f>
        <v>1712</v>
      </c>
      <c r="O44" s="1004"/>
      <c r="P44" s="955">
        <f>položky!CU42+položky!CX42</f>
        <v>1100</v>
      </c>
      <c r="Q44" s="1002"/>
      <c r="R44" s="958">
        <v>0</v>
      </c>
    </row>
    <row r="45" spans="1:18" ht="18" customHeight="1">
      <c r="A45" s="939"/>
      <c r="B45" s="940" t="s">
        <v>366</v>
      </c>
      <c r="C45" s="226"/>
      <c r="D45" s="930">
        <v>3612</v>
      </c>
      <c r="E45" s="226"/>
      <c r="F45" s="955">
        <f>položky!C43-H45-J45</f>
        <v>1194</v>
      </c>
      <c r="G45" s="964"/>
      <c r="H45" s="955">
        <f>položky!AL43</f>
        <v>0</v>
      </c>
      <c r="I45" s="964"/>
      <c r="J45" s="958">
        <v>0</v>
      </c>
      <c r="K45" s="992" t="s">
        <v>366</v>
      </c>
      <c r="L45" s="930">
        <v>3612</v>
      </c>
      <c r="M45" s="560"/>
      <c r="N45" s="955">
        <f>položky!AU43-P45</f>
        <v>720</v>
      </c>
      <c r="O45" s="1004"/>
      <c r="P45" s="955">
        <f>položky!CU43+položky!CX43</f>
        <v>120</v>
      </c>
      <c r="Q45" s="1002"/>
      <c r="R45" s="958">
        <f>Financování!B21</f>
        <v>0</v>
      </c>
    </row>
    <row r="46" spans="1:18" ht="18" customHeight="1">
      <c r="A46" s="939"/>
      <c r="B46" s="940" t="s">
        <v>367</v>
      </c>
      <c r="C46" s="226"/>
      <c r="D46" s="930">
        <v>3612</v>
      </c>
      <c r="E46" s="226"/>
      <c r="F46" s="955">
        <f>položky!C44-H46</f>
        <v>813</v>
      </c>
      <c r="G46" s="964"/>
      <c r="H46" s="955">
        <f>příjmy!B232+příjmy!B116</f>
        <v>312</v>
      </c>
      <c r="I46" s="964"/>
      <c r="J46" s="958">
        <v>0</v>
      </c>
      <c r="K46" s="992" t="s">
        <v>367</v>
      </c>
      <c r="L46" s="930">
        <v>3612</v>
      </c>
      <c r="M46" s="560"/>
      <c r="N46" s="955">
        <f>položky!AU44-P46</f>
        <v>888</v>
      </c>
      <c r="O46" s="1004"/>
      <c r="P46" s="955">
        <f>položky!CU44+položky!CX44</f>
        <v>0</v>
      </c>
      <c r="Q46" s="1002"/>
      <c r="R46" s="958">
        <v>0</v>
      </c>
    </row>
    <row r="47" spans="1:18" ht="18" customHeight="1">
      <c r="A47" s="939"/>
      <c r="B47" s="940" t="s">
        <v>329</v>
      </c>
      <c r="C47" s="226"/>
      <c r="D47" s="930">
        <v>3639</v>
      </c>
      <c r="E47" s="226"/>
      <c r="F47" s="955">
        <f>položky!C45-H47</f>
        <v>0</v>
      </c>
      <c r="G47" s="964"/>
      <c r="H47" s="955">
        <v>0</v>
      </c>
      <c r="I47" s="964"/>
      <c r="J47" s="958">
        <v>0</v>
      </c>
      <c r="K47" s="992" t="s">
        <v>329</v>
      </c>
      <c r="L47" s="930">
        <v>3639</v>
      </c>
      <c r="M47" s="560"/>
      <c r="N47" s="955">
        <f>položky!AU45-P47</f>
        <v>6494</v>
      </c>
      <c r="O47" s="1004"/>
      <c r="P47" s="955">
        <f>položky!CU45+položky!CX45</f>
        <v>700</v>
      </c>
      <c r="Q47" s="1002"/>
      <c r="R47" s="958">
        <v>0</v>
      </c>
    </row>
    <row r="48" spans="1:18" ht="18" customHeight="1">
      <c r="A48" s="939"/>
      <c r="B48" s="940" t="s">
        <v>368</v>
      </c>
      <c r="C48" s="226"/>
      <c r="D48" s="930">
        <v>3722</v>
      </c>
      <c r="E48" s="226"/>
      <c r="F48" s="955">
        <f>položky!C46-H48</f>
        <v>2175</v>
      </c>
      <c r="G48" s="964"/>
      <c r="H48" s="955">
        <f>položky!AL46</f>
        <v>0</v>
      </c>
      <c r="I48" s="964"/>
      <c r="J48" s="958">
        <v>0</v>
      </c>
      <c r="K48" s="992" t="s">
        <v>368</v>
      </c>
      <c r="L48" s="930">
        <v>3722</v>
      </c>
      <c r="M48" s="560"/>
      <c r="N48" s="955">
        <f>položky!AU46-P48</f>
        <v>3959</v>
      </c>
      <c r="O48" s="1004"/>
      <c r="P48" s="955">
        <f>položky!CU46+položky!CX46</f>
        <v>0</v>
      </c>
      <c r="Q48" s="1002"/>
      <c r="R48" s="958">
        <v>0</v>
      </c>
    </row>
    <row r="49" spans="1:18" ht="18" customHeight="1">
      <c r="A49" s="939"/>
      <c r="B49" s="940" t="s">
        <v>331</v>
      </c>
      <c r="C49" s="226"/>
      <c r="D49" s="930">
        <v>3631</v>
      </c>
      <c r="E49" s="226"/>
      <c r="F49" s="955">
        <f>položky!C47-H49</f>
        <v>0</v>
      </c>
      <c r="G49" s="964"/>
      <c r="H49" s="955">
        <f>položky!AL47</f>
        <v>0</v>
      </c>
      <c r="I49" s="964"/>
      <c r="J49" s="958">
        <v>0</v>
      </c>
      <c r="K49" s="992" t="s">
        <v>331</v>
      </c>
      <c r="L49" s="930">
        <v>3631</v>
      </c>
      <c r="M49" s="560"/>
      <c r="N49" s="955">
        <f>položky!AU47-P49</f>
        <v>1097</v>
      </c>
      <c r="O49" s="1004"/>
      <c r="P49" s="955">
        <f>položky!CU47+položky!CX47</f>
        <v>0</v>
      </c>
      <c r="Q49" s="1002"/>
      <c r="R49" s="958">
        <v>0</v>
      </c>
    </row>
    <row r="50" spans="1:18" ht="18" customHeight="1">
      <c r="A50" s="939"/>
      <c r="B50" s="940" t="s">
        <v>332</v>
      </c>
      <c r="C50" s="226"/>
      <c r="D50" s="930">
        <v>3632</v>
      </c>
      <c r="E50" s="226"/>
      <c r="F50" s="955">
        <f>položky!C48-H50</f>
        <v>49</v>
      </c>
      <c r="G50" s="964"/>
      <c r="H50" s="955">
        <f>položky!AP48</f>
        <v>0</v>
      </c>
      <c r="I50" s="964"/>
      <c r="J50" s="958">
        <v>0</v>
      </c>
      <c r="K50" s="992" t="s">
        <v>332</v>
      </c>
      <c r="L50" s="930">
        <v>3632</v>
      </c>
      <c r="M50" s="560"/>
      <c r="N50" s="955">
        <f>položky!AU48-P50</f>
        <v>431</v>
      </c>
      <c r="O50" s="1004"/>
      <c r="P50" s="955">
        <f>položky!CU48+položky!CX48</f>
        <v>0</v>
      </c>
      <c r="Q50" s="1002"/>
      <c r="R50" s="958">
        <v>0</v>
      </c>
    </row>
    <row r="51" spans="1:18" ht="18" customHeight="1">
      <c r="A51" s="939"/>
      <c r="B51" s="940" t="s">
        <v>333</v>
      </c>
      <c r="C51" s="226"/>
      <c r="D51" s="930">
        <v>3745</v>
      </c>
      <c r="E51" s="226"/>
      <c r="F51" s="955">
        <f>položky!C49-H51</f>
        <v>0</v>
      </c>
      <c r="G51" s="964"/>
      <c r="H51" s="955">
        <f>položky!AL49+položky!AP49</f>
        <v>0</v>
      </c>
      <c r="I51" s="964"/>
      <c r="J51" s="958">
        <v>0</v>
      </c>
      <c r="K51" s="992" t="s">
        <v>333</v>
      </c>
      <c r="L51" s="930">
        <v>3745</v>
      </c>
      <c r="M51" s="560"/>
      <c r="N51" s="955">
        <f>položky!AU49-P51</f>
        <v>427</v>
      </c>
      <c r="O51" s="1004"/>
      <c r="P51" s="955">
        <f>položky!CU49+položky!CX49</f>
        <v>90</v>
      </c>
      <c r="Q51" s="1002"/>
      <c r="R51" s="958">
        <v>0</v>
      </c>
    </row>
    <row r="52" spans="1:18" ht="18" customHeight="1">
      <c r="A52" s="939"/>
      <c r="B52" s="940" t="s">
        <v>369</v>
      </c>
      <c r="C52" s="226"/>
      <c r="D52" s="930">
        <v>3639</v>
      </c>
      <c r="E52" s="226"/>
      <c r="F52" s="955">
        <f>položky!C50-H52</f>
        <v>0</v>
      </c>
      <c r="G52" s="964"/>
      <c r="H52" s="955">
        <f>položky!AL50</f>
        <v>0</v>
      </c>
      <c r="I52" s="964"/>
      <c r="J52" s="958">
        <v>0</v>
      </c>
      <c r="K52" s="992" t="s">
        <v>369</v>
      </c>
      <c r="L52" s="930">
        <v>3639</v>
      </c>
      <c r="M52" s="560"/>
      <c r="N52" s="955">
        <f>položky!AU50-P52</f>
        <v>198</v>
      </c>
      <c r="O52" s="1004"/>
      <c r="P52" s="955">
        <f>položky!CU50+položky!CX50</f>
        <v>150</v>
      </c>
      <c r="Q52" s="1002"/>
      <c r="R52" s="958">
        <v>0</v>
      </c>
    </row>
    <row r="53" spans="1:18" ht="18" customHeight="1">
      <c r="A53" s="939"/>
      <c r="B53" s="940" t="s">
        <v>335</v>
      </c>
      <c r="C53" s="226"/>
      <c r="D53" s="930">
        <v>3612</v>
      </c>
      <c r="E53" s="226"/>
      <c r="F53" s="955">
        <f>položky!C51-H53-J53</f>
        <v>0</v>
      </c>
      <c r="G53" s="964"/>
      <c r="H53" s="955">
        <f>příjmy!B108</f>
        <v>802</v>
      </c>
      <c r="I53" s="964"/>
      <c r="J53" s="958">
        <v>0</v>
      </c>
      <c r="K53" s="992" t="s">
        <v>335</v>
      </c>
      <c r="L53" s="930">
        <v>3612</v>
      </c>
      <c r="M53" s="560"/>
      <c r="N53" s="955">
        <f>položky!AU51-P53</f>
        <v>0</v>
      </c>
      <c r="O53" s="1004"/>
      <c r="P53" s="955">
        <f>položky!CU51+položky!CX51</f>
        <v>0</v>
      </c>
      <c r="Q53" s="1002"/>
      <c r="R53" s="958">
        <v>0</v>
      </c>
    </row>
    <row r="54" spans="1:18" ht="18" customHeight="1">
      <c r="A54" s="939"/>
      <c r="B54" s="940" t="s">
        <v>160</v>
      </c>
      <c r="C54" s="226"/>
      <c r="D54" s="930">
        <v>3419</v>
      </c>
      <c r="E54" s="226"/>
      <c r="F54" s="955">
        <f>položky!C52-H54</f>
        <v>126</v>
      </c>
      <c r="G54" s="964"/>
      <c r="H54" s="955">
        <f>položky!AL52</f>
        <v>0</v>
      </c>
      <c r="I54" s="964"/>
      <c r="J54" s="958">
        <v>0</v>
      </c>
      <c r="K54" s="992" t="s">
        <v>160</v>
      </c>
      <c r="L54" s="930">
        <v>3419</v>
      </c>
      <c r="M54" s="560"/>
      <c r="N54" s="955">
        <f>položky!AU52-P54</f>
        <v>161</v>
      </c>
      <c r="O54" s="1004"/>
      <c r="P54" s="955">
        <f>položky!CU52+položky!CX52</f>
        <v>0</v>
      </c>
      <c r="Q54" s="1002"/>
      <c r="R54" s="958">
        <v>0</v>
      </c>
    </row>
    <row r="55" spans="1:18" ht="18" customHeight="1">
      <c r="A55" s="939"/>
      <c r="B55" s="940" t="s">
        <v>161</v>
      </c>
      <c r="C55" s="226"/>
      <c r="D55" s="930">
        <v>3419</v>
      </c>
      <c r="E55" s="226"/>
      <c r="F55" s="955">
        <f>položky!C53-H55</f>
        <v>0</v>
      </c>
      <c r="G55" s="964"/>
      <c r="H55" s="955">
        <f>příjmy!B300+příjmy!B204</f>
        <v>555</v>
      </c>
      <c r="I55" s="964"/>
      <c r="J55" s="958">
        <v>0</v>
      </c>
      <c r="K55" s="992" t="s">
        <v>161</v>
      </c>
      <c r="L55" s="930">
        <v>3419</v>
      </c>
      <c r="M55" s="560"/>
      <c r="N55" s="955">
        <f>položky!AU53-P55</f>
        <v>700</v>
      </c>
      <c r="O55" s="1004"/>
      <c r="P55" s="955">
        <f>položky!CU53+položky!CX53</f>
        <v>884</v>
      </c>
      <c r="Q55" s="1002"/>
      <c r="R55" s="958">
        <v>0</v>
      </c>
    </row>
    <row r="56" spans="1:18" ht="18" customHeight="1">
      <c r="A56" s="939"/>
      <c r="B56" s="940" t="s">
        <v>162</v>
      </c>
      <c r="C56" s="226"/>
      <c r="D56" s="930">
        <v>3412</v>
      </c>
      <c r="E56" s="226"/>
      <c r="F56" s="955">
        <f>položky!C54-H56</f>
        <v>0</v>
      </c>
      <c r="G56" s="964"/>
      <c r="H56" s="955">
        <f>položky!AL54</f>
        <v>0</v>
      </c>
      <c r="I56" s="964"/>
      <c r="J56" s="955">
        <v>0</v>
      </c>
      <c r="K56" s="993" t="s">
        <v>162</v>
      </c>
      <c r="L56" s="930">
        <v>3412</v>
      </c>
      <c r="M56" s="560"/>
      <c r="N56" s="955">
        <f>položky!AU54-P56</f>
        <v>236</v>
      </c>
      <c r="O56" s="1004"/>
      <c r="P56" s="955">
        <f>položky!CU54+položky!CX54</f>
        <v>0</v>
      </c>
      <c r="Q56" s="1002"/>
      <c r="R56" s="958">
        <v>0</v>
      </c>
    </row>
    <row r="57" spans="1:18" ht="18" customHeight="1" thickBot="1">
      <c r="A57" s="939"/>
      <c r="B57" s="940" t="s">
        <v>336</v>
      </c>
      <c r="C57" s="226"/>
      <c r="D57" s="930">
        <v>4226</v>
      </c>
      <c r="E57" s="226"/>
      <c r="F57" s="967">
        <f>položky!C55-H57</f>
        <v>4000</v>
      </c>
      <c r="G57" s="964"/>
      <c r="H57" s="955">
        <f>položky!AL55</f>
        <v>0</v>
      </c>
      <c r="I57" s="964"/>
      <c r="J57" s="968">
        <v>0</v>
      </c>
      <c r="K57" s="992" t="s">
        <v>336</v>
      </c>
      <c r="L57" s="930">
        <v>4226</v>
      </c>
      <c r="M57" s="560"/>
      <c r="N57" s="967">
        <f>položky!AU55-P57</f>
        <v>4554</v>
      </c>
      <c r="O57" s="1004"/>
      <c r="P57" s="955">
        <f>položky!CU55+položky!CX55</f>
        <v>0</v>
      </c>
      <c r="Q57" s="1002"/>
      <c r="R57" s="958">
        <v>0</v>
      </c>
    </row>
    <row r="58" spans="1:18" ht="19.5" customHeight="1" thickBot="1" thickTop="1">
      <c r="A58" s="941" t="s">
        <v>337</v>
      </c>
      <c r="B58" s="891"/>
      <c r="C58" s="231"/>
      <c r="D58" s="931"/>
      <c r="E58" s="231"/>
      <c r="F58" s="960">
        <f>SUM(F59:F59)</f>
        <v>0</v>
      </c>
      <c r="G58" s="953"/>
      <c r="H58" s="960">
        <f>SUM(H59:H59)</f>
        <v>0</v>
      </c>
      <c r="I58" s="953"/>
      <c r="J58" s="960">
        <f>SUM(J59:J59)</f>
        <v>0</v>
      </c>
      <c r="K58" s="985" t="s">
        <v>337</v>
      </c>
      <c r="L58" s="931"/>
      <c r="M58" s="554"/>
      <c r="N58" s="960">
        <f>SUM(N59:N59)</f>
        <v>170</v>
      </c>
      <c r="O58" s="996"/>
      <c r="P58" s="960">
        <f>SUM(P59:P59)</f>
        <v>1200</v>
      </c>
      <c r="Q58" s="1002"/>
      <c r="R58" s="960">
        <f>SUM(R59:R59)</f>
        <v>0</v>
      </c>
    </row>
    <row r="59" spans="1:18" ht="18" customHeight="1" thickBot="1" thickTop="1">
      <c r="A59" s="939"/>
      <c r="B59" s="940" t="s">
        <v>338</v>
      </c>
      <c r="C59" s="226"/>
      <c r="D59" s="930">
        <v>3639</v>
      </c>
      <c r="E59" s="226"/>
      <c r="F59" s="955">
        <f>položky!C57-H59</f>
        <v>0</v>
      </c>
      <c r="G59" s="964"/>
      <c r="H59" s="955">
        <f>položky!AL57+položky!AP57</f>
        <v>0</v>
      </c>
      <c r="I59" s="964"/>
      <c r="J59" s="961">
        <v>0</v>
      </c>
      <c r="K59" s="984" t="s">
        <v>338</v>
      </c>
      <c r="L59" s="930">
        <v>3639</v>
      </c>
      <c r="M59" s="132"/>
      <c r="N59" s="955">
        <f>položky!AU57-P59</f>
        <v>170</v>
      </c>
      <c r="O59" s="1004"/>
      <c r="P59" s="955">
        <f>položky!CU57+položky!CX57</f>
        <v>1200</v>
      </c>
      <c r="Q59" s="1002"/>
      <c r="R59" s="961">
        <v>0</v>
      </c>
    </row>
    <row r="60" spans="1:18" ht="19.5" customHeight="1" thickBot="1" thickTop="1">
      <c r="A60" s="941" t="s">
        <v>339</v>
      </c>
      <c r="B60" s="891"/>
      <c r="C60" s="231"/>
      <c r="D60" s="931"/>
      <c r="E60" s="231"/>
      <c r="F60" s="960">
        <f>SUM(F61:F63)</f>
        <v>37127</v>
      </c>
      <c r="G60" s="953"/>
      <c r="H60" s="960">
        <f>SUM(H61:H62)</f>
        <v>0</v>
      </c>
      <c r="I60" s="953"/>
      <c r="J60" s="960">
        <f>SUM(J61:J63)</f>
        <v>33591</v>
      </c>
      <c r="K60" s="985" t="s">
        <v>339</v>
      </c>
      <c r="L60" s="931"/>
      <c r="M60" s="554"/>
      <c r="N60" s="960">
        <f>SUM(N61:N63)</f>
        <v>5067</v>
      </c>
      <c r="O60" s="996"/>
      <c r="P60" s="960">
        <f>SUM(P61:P62)</f>
        <v>10091</v>
      </c>
      <c r="Q60" s="1003"/>
      <c r="R60" s="960">
        <f>SUM(R61:R62)</f>
        <v>0</v>
      </c>
    </row>
    <row r="61" spans="1:18" ht="18" customHeight="1" thickTop="1">
      <c r="A61" s="939"/>
      <c r="B61" s="940" t="s">
        <v>416</v>
      </c>
      <c r="C61" s="226"/>
      <c r="D61" s="930">
        <v>6171</v>
      </c>
      <c r="E61" s="226"/>
      <c r="F61" s="955">
        <f>položky!C59-H61</f>
        <v>37073</v>
      </c>
      <c r="G61" s="964"/>
      <c r="H61" s="955">
        <f>příjmy!B52</f>
        <v>0</v>
      </c>
      <c r="I61" s="964"/>
      <c r="J61" s="955">
        <v>0</v>
      </c>
      <c r="K61" s="984" t="s">
        <v>340</v>
      </c>
      <c r="L61" s="930">
        <v>6171</v>
      </c>
      <c r="M61" s="132"/>
      <c r="N61" s="955">
        <f>položky!AU59-P61</f>
        <v>3978</v>
      </c>
      <c r="O61" s="1004"/>
      <c r="P61" s="955">
        <f>položky!CU59+položky!CX59</f>
        <v>0</v>
      </c>
      <c r="Q61" s="1002"/>
      <c r="R61" s="955">
        <v>0</v>
      </c>
    </row>
    <row r="62" spans="1:18" ht="18" customHeight="1">
      <c r="A62" s="939"/>
      <c r="B62" s="940" t="s">
        <v>370</v>
      </c>
      <c r="C62" s="226"/>
      <c r="D62" s="930">
        <v>6310</v>
      </c>
      <c r="E62" s="226"/>
      <c r="F62" s="961">
        <v>0</v>
      </c>
      <c r="G62" s="964"/>
      <c r="H62" s="961">
        <f>položky!AK60-F62</f>
        <v>0</v>
      </c>
      <c r="I62" s="964"/>
      <c r="J62" s="961">
        <f>Financování!B9+Financování!B13</f>
        <v>33591</v>
      </c>
      <c r="K62" s="984" t="s">
        <v>370</v>
      </c>
      <c r="L62" s="930">
        <v>6310</v>
      </c>
      <c r="M62" s="132"/>
      <c r="N62" s="961">
        <f>položky!AU60-položky!CX60</f>
        <v>590</v>
      </c>
      <c r="O62" s="1004"/>
      <c r="P62" s="961">
        <f>položky!CU60+položky!CX60</f>
        <v>10091</v>
      </c>
      <c r="Q62" s="1002"/>
      <c r="R62" s="961">
        <f>Financování!B23</f>
        <v>0</v>
      </c>
    </row>
    <row r="63" spans="1:18" ht="18" customHeight="1" thickBot="1">
      <c r="A63" s="950"/>
      <c r="B63" s="951" t="s">
        <v>342</v>
      </c>
      <c r="C63" s="163"/>
      <c r="D63" s="936">
        <v>6171</v>
      </c>
      <c r="E63" s="163"/>
      <c r="F63" s="969">
        <f>položky!C61</f>
        <v>54</v>
      </c>
      <c r="G63" s="964"/>
      <c r="H63" s="969">
        <v>0</v>
      </c>
      <c r="I63" s="964"/>
      <c r="J63" s="969">
        <f>Financování!B12</f>
        <v>0</v>
      </c>
      <c r="K63" s="994" t="s">
        <v>342</v>
      </c>
      <c r="L63" s="936">
        <v>6171</v>
      </c>
      <c r="M63" s="561"/>
      <c r="N63" s="969">
        <f>položky!AU61-P63</f>
        <v>499</v>
      </c>
      <c r="O63" s="1004"/>
      <c r="P63" s="969">
        <f>položky!CU61+položky!CX61</f>
        <v>0</v>
      </c>
      <c r="Q63" s="1002"/>
      <c r="R63" s="969">
        <v>0</v>
      </c>
    </row>
    <row r="64" spans="2:10" ht="15">
      <c r="B64" s="240"/>
      <c r="F64" s="233"/>
      <c r="H64" s="233"/>
      <c r="J64" s="233"/>
    </row>
    <row r="65" spans="2:10" ht="15">
      <c r="B65" s="240"/>
      <c r="F65" s="233"/>
      <c r="H65" s="233"/>
      <c r="J65" s="233"/>
    </row>
    <row r="66" spans="2:10" ht="15">
      <c r="B66" s="240"/>
      <c r="F66" s="233"/>
      <c r="H66" s="233"/>
      <c r="J66" s="233"/>
    </row>
    <row r="67" spans="2:10" ht="15">
      <c r="B67" s="240"/>
      <c r="F67" s="233"/>
      <c r="H67" s="233"/>
      <c r="J67" s="233"/>
    </row>
    <row r="68" spans="2:10" ht="15">
      <c r="B68" s="240"/>
      <c r="F68" s="233"/>
      <c r="H68" s="233"/>
      <c r="J68" s="233"/>
    </row>
    <row r="69" spans="2:10" ht="15">
      <c r="B69" s="240"/>
      <c r="F69" s="233"/>
      <c r="H69" s="233"/>
      <c r="J69" s="233"/>
    </row>
    <row r="70" spans="2:10" ht="15">
      <c r="B70" s="240"/>
      <c r="F70" s="233"/>
      <c r="H70" s="233"/>
      <c r="J70" s="233"/>
    </row>
    <row r="71" spans="2:10" ht="15">
      <c r="B71" s="240"/>
      <c r="F71" s="233"/>
      <c r="H71" s="233"/>
      <c r="J71" s="233"/>
    </row>
    <row r="72" spans="2:10" ht="15">
      <c r="B72" s="240"/>
      <c r="F72" s="233"/>
      <c r="H72" s="233"/>
      <c r="J72" s="233"/>
    </row>
    <row r="73" spans="2:10" ht="15">
      <c r="B73" s="240"/>
      <c r="F73" s="233"/>
      <c r="H73" s="233"/>
      <c r="J73" s="233"/>
    </row>
    <row r="74" spans="2:10" ht="15">
      <c r="B74" s="240"/>
      <c r="F74" s="233"/>
      <c r="H74" s="233"/>
      <c r="J74" s="233"/>
    </row>
    <row r="75" spans="2:10" ht="15">
      <c r="B75" s="240"/>
      <c r="F75" s="233"/>
      <c r="H75" s="233"/>
      <c r="J75" s="233"/>
    </row>
    <row r="76" spans="2:10" ht="15">
      <c r="B76" s="240"/>
      <c r="F76" s="233"/>
      <c r="H76" s="233"/>
      <c r="J76" s="233"/>
    </row>
    <row r="77" spans="2:10" ht="15">
      <c r="B77" s="240"/>
      <c r="F77" s="233"/>
      <c r="H77" s="233"/>
      <c r="J77" s="233"/>
    </row>
    <row r="78" spans="2:10" ht="15">
      <c r="B78" s="240"/>
      <c r="F78" s="233"/>
      <c r="H78" s="233"/>
      <c r="J78" s="233"/>
    </row>
    <row r="79" spans="2:10" ht="15">
      <c r="B79" s="240"/>
      <c r="F79" s="233"/>
      <c r="H79" s="233"/>
      <c r="J79" s="233"/>
    </row>
    <row r="80" spans="2:10" ht="15">
      <c r="B80" s="240"/>
      <c r="F80" s="233"/>
      <c r="H80" s="233"/>
      <c r="J80" s="233"/>
    </row>
    <row r="81" spans="2:10" ht="15">
      <c r="B81" s="240"/>
      <c r="F81" s="233"/>
      <c r="H81" s="233"/>
      <c r="J81" s="233"/>
    </row>
    <row r="82" spans="2:10" ht="15">
      <c r="B82" s="240"/>
      <c r="F82" s="233"/>
      <c r="H82" s="233"/>
      <c r="J82" s="233"/>
    </row>
    <row r="83" spans="2:10" ht="15">
      <c r="B83" s="240"/>
      <c r="F83" s="233"/>
      <c r="H83" s="233"/>
      <c r="J83" s="233"/>
    </row>
    <row r="84" spans="2:10" ht="15">
      <c r="B84" s="240"/>
      <c r="F84" s="233"/>
      <c r="H84" s="233"/>
      <c r="J84" s="233"/>
    </row>
    <row r="85" spans="2:10" ht="15">
      <c r="B85" s="240"/>
      <c r="F85" s="233"/>
      <c r="H85" s="233"/>
      <c r="J85" s="233"/>
    </row>
    <row r="86" spans="2:10" ht="15">
      <c r="B86" s="240"/>
      <c r="F86" s="233"/>
      <c r="H86" s="233"/>
      <c r="J86" s="233"/>
    </row>
    <row r="87" spans="2:10" ht="15">
      <c r="B87" s="240"/>
      <c r="F87" s="233"/>
      <c r="H87" s="233"/>
      <c r="J87" s="233"/>
    </row>
    <row r="88" spans="2:10" ht="15">
      <c r="B88" s="240"/>
      <c r="F88" s="233"/>
      <c r="H88" s="233"/>
      <c r="J88" s="233"/>
    </row>
    <row r="89" spans="2:10" ht="15">
      <c r="B89" s="240"/>
      <c r="F89" s="233"/>
      <c r="H89" s="233"/>
      <c r="J89" s="233"/>
    </row>
    <row r="90" spans="2:10" ht="15">
      <c r="B90" s="240"/>
      <c r="F90" s="233"/>
      <c r="H90" s="233"/>
      <c r="J90" s="233"/>
    </row>
    <row r="91" spans="2:10" ht="15">
      <c r="B91" s="240"/>
      <c r="F91" s="233"/>
      <c r="H91" s="233"/>
      <c r="J91" s="233"/>
    </row>
    <row r="92" spans="2:10" ht="15">
      <c r="B92" s="240"/>
      <c r="F92" s="233"/>
      <c r="H92" s="233"/>
      <c r="J92" s="233"/>
    </row>
    <row r="93" spans="2:10" ht="15">
      <c r="B93" s="240"/>
      <c r="F93" s="233"/>
      <c r="H93" s="233"/>
      <c r="J93" s="233"/>
    </row>
    <row r="94" spans="2:10" ht="15">
      <c r="B94" s="240"/>
      <c r="F94" s="233"/>
      <c r="H94" s="233"/>
      <c r="J94" s="233"/>
    </row>
    <row r="95" spans="2:10" ht="15">
      <c r="B95" s="240"/>
      <c r="F95" s="233"/>
      <c r="H95" s="233"/>
      <c r="J95" s="233"/>
    </row>
    <row r="96" spans="2:10" ht="15">
      <c r="B96" s="240"/>
      <c r="F96" s="233"/>
      <c r="H96" s="233"/>
      <c r="J96" s="233"/>
    </row>
    <row r="97" spans="2:10" ht="15">
      <c r="B97" s="240"/>
      <c r="F97" s="233"/>
      <c r="H97" s="233"/>
      <c r="J97" s="233"/>
    </row>
    <row r="98" spans="2:10" ht="15">
      <c r="B98" s="240"/>
      <c r="F98" s="233"/>
      <c r="H98" s="233"/>
      <c r="J98" s="233"/>
    </row>
    <row r="99" spans="2:10" ht="15">
      <c r="B99" s="240"/>
      <c r="F99" s="233"/>
      <c r="H99" s="233"/>
      <c r="J99" s="233"/>
    </row>
    <row r="100" spans="2:10" ht="15">
      <c r="B100" s="240"/>
      <c r="F100" s="233"/>
      <c r="H100" s="233"/>
      <c r="J100" s="233"/>
    </row>
    <row r="101" spans="2:10" ht="15">
      <c r="B101" s="240"/>
      <c r="F101" s="233"/>
      <c r="H101" s="233"/>
      <c r="J101" s="233"/>
    </row>
    <row r="102" spans="2:10" ht="15">
      <c r="B102" s="240"/>
      <c r="F102" s="233"/>
      <c r="H102" s="233"/>
      <c r="J102" s="233"/>
    </row>
    <row r="103" spans="2:10" ht="15">
      <c r="B103" s="240"/>
      <c r="F103" s="233"/>
      <c r="H103" s="233"/>
      <c r="J103" s="233"/>
    </row>
    <row r="104" spans="2:10" ht="15">
      <c r="B104" s="240"/>
      <c r="F104" s="233"/>
      <c r="H104" s="233"/>
      <c r="J104" s="233"/>
    </row>
    <row r="105" spans="6:10" ht="15">
      <c r="F105" s="233"/>
      <c r="H105" s="233"/>
      <c r="J105" s="233"/>
    </row>
    <row r="106" spans="6:10" ht="15">
      <c r="F106" s="233"/>
      <c r="H106" s="233"/>
      <c r="J106" s="233"/>
    </row>
    <row r="107" spans="6:10" ht="15">
      <c r="F107" s="233"/>
      <c r="H107" s="233"/>
      <c r="J107" s="233"/>
    </row>
    <row r="108" spans="6:10" ht="15">
      <c r="F108" s="233"/>
      <c r="H108" s="233"/>
      <c r="J108" s="233"/>
    </row>
    <row r="109" spans="6:10" ht="15">
      <c r="F109" s="233"/>
      <c r="H109" s="233"/>
      <c r="J109" s="233"/>
    </row>
    <row r="110" spans="6:10" ht="15">
      <c r="F110" s="233"/>
      <c r="H110" s="233"/>
      <c r="J110" s="233"/>
    </row>
    <row r="111" spans="6:10" ht="15">
      <c r="F111" s="233"/>
      <c r="H111" s="233"/>
      <c r="J111" s="233"/>
    </row>
    <row r="112" spans="6:10" ht="15">
      <c r="F112" s="233"/>
      <c r="H112" s="233"/>
      <c r="J112" s="233"/>
    </row>
    <row r="113" spans="6:10" ht="15">
      <c r="F113" s="233"/>
      <c r="H113" s="233"/>
      <c r="J113" s="233"/>
    </row>
    <row r="114" spans="6:10" ht="15">
      <c r="F114" s="233"/>
      <c r="H114" s="233"/>
      <c r="J114" s="233"/>
    </row>
    <row r="115" spans="6:10" ht="15">
      <c r="F115" s="233"/>
      <c r="H115" s="233"/>
      <c r="J115" s="233"/>
    </row>
    <row r="116" spans="6:10" ht="15">
      <c r="F116" s="233"/>
      <c r="H116" s="233"/>
      <c r="J116" s="233"/>
    </row>
    <row r="117" spans="6:10" ht="15">
      <c r="F117" s="233"/>
      <c r="H117" s="233"/>
      <c r="J117" s="233"/>
    </row>
    <row r="118" spans="6:10" ht="15">
      <c r="F118" s="233"/>
      <c r="H118" s="233"/>
      <c r="J118" s="233"/>
    </row>
    <row r="119" spans="6:10" ht="15">
      <c r="F119" s="233"/>
      <c r="H119" s="233"/>
      <c r="J119" s="233"/>
    </row>
    <row r="120" spans="6:10" ht="15">
      <c r="F120" s="233"/>
      <c r="H120" s="233"/>
      <c r="J120" s="233"/>
    </row>
    <row r="121" spans="6:10" ht="15">
      <c r="F121" s="233"/>
      <c r="H121" s="233"/>
      <c r="J121" s="233"/>
    </row>
    <row r="122" spans="6:10" ht="15">
      <c r="F122" s="233"/>
      <c r="H122" s="233"/>
      <c r="J122" s="233"/>
    </row>
    <row r="123" spans="6:10" ht="15">
      <c r="F123" s="233"/>
      <c r="H123" s="233"/>
      <c r="J123" s="233"/>
    </row>
    <row r="124" spans="6:10" ht="15">
      <c r="F124" s="233"/>
      <c r="H124" s="233"/>
      <c r="J124" s="233"/>
    </row>
    <row r="125" spans="6:10" ht="15">
      <c r="F125" s="233"/>
      <c r="H125" s="233"/>
      <c r="J125" s="233"/>
    </row>
    <row r="126" spans="6:10" ht="15">
      <c r="F126" s="233"/>
      <c r="H126" s="233"/>
      <c r="J126" s="233"/>
    </row>
    <row r="127" spans="6:10" ht="15">
      <c r="F127" s="233"/>
      <c r="H127" s="233"/>
      <c r="J127" s="233"/>
    </row>
    <row r="128" spans="6:10" ht="15">
      <c r="F128" s="233"/>
      <c r="H128" s="233"/>
      <c r="J128" s="233"/>
    </row>
    <row r="129" spans="6:10" ht="15">
      <c r="F129" s="233"/>
      <c r="H129" s="233"/>
      <c r="J129" s="233"/>
    </row>
    <row r="130" spans="6:10" ht="15">
      <c r="F130" s="233"/>
      <c r="H130" s="233"/>
      <c r="J130" s="233"/>
    </row>
    <row r="131" spans="6:10" ht="15">
      <c r="F131" s="233"/>
      <c r="H131" s="233"/>
      <c r="J131" s="233"/>
    </row>
    <row r="132" spans="6:10" ht="15">
      <c r="F132" s="233"/>
      <c r="H132" s="233"/>
      <c r="J132" s="233"/>
    </row>
    <row r="133" spans="6:10" ht="15">
      <c r="F133" s="233"/>
      <c r="H133" s="233"/>
      <c r="J133" s="233"/>
    </row>
    <row r="134" spans="6:10" ht="15">
      <c r="F134" s="233"/>
      <c r="H134" s="233"/>
      <c r="J134" s="233"/>
    </row>
    <row r="135" spans="6:10" ht="15">
      <c r="F135" s="233"/>
      <c r="H135" s="233"/>
      <c r="J135" s="233"/>
    </row>
    <row r="136" spans="6:10" ht="15">
      <c r="F136" s="233"/>
      <c r="H136" s="233"/>
      <c r="J136" s="233"/>
    </row>
    <row r="137" spans="6:10" ht="15">
      <c r="F137" s="233"/>
      <c r="H137" s="233"/>
      <c r="J137" s="233"/>
    </row>
    <row r="138" spans="6:10" ht="15">
      <c r="F138" s="233"/>
      <c r="H138" s="233"/>
      <c r="J138" s="233"/>
    </row>
    <row r="139" spans="6:10" ht="15">
      <c r="F139" s="233"/>
      <c r="H139" s="233"/>
      <c r="J139" s="233"/>
    </row>
    <row r="140" spans="6:10" ht="15">
      <c r="F140" s="233"/>
      <c r="H140" s="233"/>
      <c r="J140" s="233"/>
    </row>
    <row r="141" spans="6:10" ht="15">
      <c r="F141" s="233"/>
      <c r="H141" s="233"/>
      <c r="J141" s="233"/>
    </row>
    <row r="142" spans="6:10" ht="15">
      <c r="F142" s="233"/>
      <c r="H142" s="233"/>
      <c r="J142" s="233"/>
    </row>
    <row r="143" spans="6:10" ht="15">
      <c r="F143" s="233"/>
      <c r="H143" s="233"/>
      <c r="J143" s="233"/>
    </row>
    <row r="144" spans="6:10" ht="15">
      <c r="F144" s="233"/>
      <c r="H144" s="233"/>
      <c r="J144" s="233"/>
    </row>
    <row r="145" spans="6:10" ht="15">
      <c r="F145" s="233"/>
      <c r="H145" s="233"/>
      <c r="J145" s="233"/>
    </row>
    <row r="146" spans="6:10" ht="15">
      <c r="F146" s="233"/>
      <c r="H146" s="233"/>
      <c r="J146" s="233"/>
    </row>
    <row r="147" spans="6:10" ht="15">
      <c r="F147" s="233"/>
      <c r="H147" s="233"/>
      <c r="J147" s="233"/>
    </row>
    <row r="148" spans="6:10" ht="15">
      <c r="F148" s="233"/>
      <c r="H148" s="233"/>
      <c r="J148" s="233"/>
    </row>
    <row r="149" spans="6:10" ht="15">
      <c r="F149" s="233"/>
      <c r="H149" s="233"/>
      <c r="J149" s="233"/>
    </row>
    <row r="150" spans="6:10" ht="15">
      <c r="F150" s="233"/>
      <c r="H150" s="233"/>
      <c r="J150" s="233"/>
    </row>
    <row r="151" spans="6:10" ht="15">
      <c r="F151" s="233"/>
      <c r="H151" s="233"/>
      <c r="J151" s="233"/>
    </row>
    <row r="152" spans="6:10" ht="15">
      <c r="F152" s="233"/>
      <c r="H152" s="233"/>
      <c r="J152" s="233"/>
    </row>
    <row r="153" spans="6:10" ht="15">
      <c r="F153" s="233"/>
      <c r="H153" s="233"/>
      <c r="J153" s="233"/>
    </row>
    <row r="154" spans="6:10" ht="15">
      <c r="F154" s="233"/>
      <c r="H154" s="233"/>
      <c r="J154" s="233"/>
    </row>
    <row r="155" spans="6:10" ht="15">
      <c r="F155" s="233"/>
      <c r="H155" s="233"/>
      <c r="J155" s="233"/>
    </row>
    <row r="156" spans="6:10" ht="15">
      <c r="F156" s="233"/>
      <c r="H156" s="233"/>
      <c r="J156" s="233"/>
    </row>
    <row r="157" spans="6:10" ht="15">
      <c r="F157" s="233"/>
      <c r="H157" s="233"/>
      <c r="J157" s="233"/>
    </row>
    <row r="158" spans="6:10" ht="15">
      <c r="F158" s="233"/>
      <c r="H158" s="233"/>
      <c r="J158" s="233"/>
    </row>
    <row r="159" spans="6:8" ht="15">
      <c r="F159" s="233"/>
      <c r="H159" s="233"/>
    </row>
    <row r="160" spans="6:8" ht="15">
      <c r="F160" s="233"/>
      <c r="H160" s="233"/>
    </row>
    <row r="161" spans="6:8" ht="15">
      <c r="F161" s="233"/>
      <c r="H161" s="233"/>
    </row>
    <row r="162" spans="6:8" ht="15">
      <c r="F162" s="233"/>
      <c r="H162" s="233"/>
    </row>
    <row r="163" spans="6:8" ht="15">
      <c r="F163" s="233"/>
      <c r="H163" s="233"/>
    </row>
    <row r="164" spans="6:8" ht="15">
      <c r="F164" s="233"/>
      <c r="H164" s="233"/>
    </row>
    <row r="165" spans="6:8" ht="15">
      <c r="F165" s="233"/>
      <c r="H165" s="233"/>
    </row>
    <row r="166" spans="6:8" ht="15">
      <c r="F166" s="233"/>
      <c r="H166" s="233"/>
    </row>
    <row r="167" spans="6:8" ht="15">
      <c r="F167" s="233"/>
      <c r="H167" s="233"/>
    </row>
    <row r="168" spans="6:8" ht="15">
      <c r="F168" s="233"/>
      <c r="H168" s="233"/>
    </row>
    <row r="169" spans="6:8" ht="15">
      <c r="F169" s="233"/>
      <c r="H169" s="233"/>
    </row>
    <row r="170" spans="6:8" ht="15">
      <c r="F170" s="233"/>
      <c r="H170" s="233"/>
    </row>
    <row r="171" spans="6:8" ht="15">
      <c r="F171" s="233"/>
      <c r="H171" s="233"/>
    </row>
    <row r="172" spans="6:8" ht="15">
      <c r="F172" s="233"/>
      <c r="H172" s="233"/>
    </row>
    <row r="173" spans="6:8" ht="15">
      <c r="F173" s="233"/>
      <c r="H173" s="233"/>
    </row>
    <row r="174" spans="6:8" ht="15">
      <c r="F174" s="233"/>
      <c r="H174" s="233"/>
    </row>
    <row r="175" spans="6:8" ht="15">
      <c r="F175" s="233"/>
      <c r="H175" s="233"/>
    </row>
    <row r="176" spans="6:8" ht="15">
      <c r="F176" s="233"/>
      <c r="H176" s="233"/>
    </row>
    <row r="177" spans="6:8" ht="15">
      <c r="F177" s="233"/>
      <c r="H177" s="233"/>
    </row>
    <row r="178" spans="6:8" ht="15">
      <c r="F178" s="233"/>
      <c r="H178" s="233"/>
    </row>
    <row r="179" spans="6:8" ht="15">
      <c r="F179" s="233"/>
      <c r="H179" s="233"/>
    </row>
    <row r="180" spans="6:8" ht="15">
      <c r="F180" s="233"/>
      <c r="H180" s="233"/>
    </row>
  </sheetData>
  <sheetProtection/>
  <printOptions horizontalCentered="1"/>
  <pageMargins left="0.1968503937007874" right="0" top="0.1968503937007874" bottom="0.1968503937007874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="50" zoomScaleNormal="50" zoomScalePageLayoutView="0" workbookViewId="0" topLeftCell="A1">
      <selection activeCell="G29" sqref="G29"/>
    </sheetView>
  </sheetViews>
  <sheetFormatPr defaultColWidth="9.00390625" defaultRowHeight="12.75"/>
  <cols>
    <col min="1" max="1" width="230.25390625" style="0" customWidth="1"/>
    <col min="2" max="2" width="39.00390625" style="0" customWidth="1"/>
    <col min="3" max="3" width="8.375" style="728" customWidth="1"/>
    <col min="4" max="4" width="14.375" style="0" customWidth="1"/>
    <col min="5" max="5" width="18.00390625" style="0" customWidth="1"/>
    <col min="7" max="7" width="18.125" style="0" bestFit="1" customWidth="1"/>
    <col min="9" max="9" width="16.875" style="0" customWidth="1"/>
    <col min="10" max="10" width="20.625" style="0" customWidth="1"/>
    <col min="11" max="11" width="30.875" style="0" customWidth="1"/>
    <col min="12" max="12" width="18.00390625" style="0" customWidth="1"/>
  </cols>
  <sheetData>
    <row r="1" spans="1:2" ht="20.25" customHeight="1">
      <c r="A1" s="234"/>
      <c r="B1" s="903" t="s">
        <v>702</v>
      </c>
    </row>
    <row r="2" spans="1:2" ht="20.25" customHeight="1">
      <c r="A2" s="234"/>
      <c r="B2" s="903"/>
    </row>
    <row r="3" spans="1:11" ht="30.75" customHeight="1">
      <c r="A3" s="901" t="s">
        <v>1216</v>
      </c>
      <c r="B3" s="902" t="s">
        <v>698</v>
      </c>
      <c r="J3" s="1049"/>
      <c r="K3" s="761"/>
    </row>
    <row r="4" spans="1:7" ht="35.25">
      <c r="A4" s="901" t="s">
        <v>1275</v>
      </c>
      <c r="B4" s="902" t="s">
        <v>699</v>
      </c>
      <c r="E4" s="1047"/>
      <c r="G4" s="1042"/>
    </row>
    <row r="5" spans="1:2" ht="22.5" customHeight="1" thickBot="1">
      <c r="A5" s="901"/>
      <c r="B5" s="902"/>
    </row>
    <row r="6" spans="1:12" ht="34.5" thickBot="1">
      <c r="A6" s="914" t="s">
        <v>371</v>
      </c>
      <c r="B6" s="915">
        <f>SUM(B8+B33)</f>
        <v>131483.5</v>
      </c>
      <c r="C6" s="729"/>
      <c r="D6" s="322"/>
      <c r="E6" s="1043"/>
      <c r="G6" s="1052"/>
      <c r="J6" s="1046"/>
      <c r="K6" s="1043"/>
      <c r="L6" s="1046"/>
    </row>
    <row r="7" spans="1:7" ht="8.25" customHeight="1" thickBot="1">
      <c r="A7" s="235"/>
      <c r="B7" s="431"/>
      <c r="E7" s="1043"/>
      <c r="G7" s="1041"/>
    </row>
    <row r="8" spans="1:7" ht="31.5" thickBot="1" thickTop="1">
      <c r="A8" s="916" t="s">
        <v>372</v>
      </c>
      <c r="B8" s="917">
        <f>SUM(B9:B32)</f>
        <v>62103.5</v>
      </c>
      <c r="C8" s="729"/>
      <c r="D8" s="322"/>
      <c r="E8" s="1043"/>
      <c r="G8" s="761"/>
    </row>
    <row r="9" spans="1:7" ht="25.5" customHeight="1">
      <c r="A9" s="907" t="s">
        <v>1023</v>
      </c>
      <c r="B9" s="908">
        <f>položky!W5-položky!AC5-B34-B24-B15-B45-B43</f>
        <v>8712</v>
      </c>
      <c r="E9" s="1043"/>
      <c r="G9" s="761"/>
    </row>
    <row r="10" spans="1:7" ht="25.5" customHeight="1">
      <c r="A10" s="909" t="s">
        <v>1024</v>
      </c>
      <c r="B10" s="910">
        <f>položky!E5</f>
        <v>35878</v>
      </c>
      <c r="D10" s="322"/>
      <c r="E10" s="1043"/>
      <c r="G10" s="761"/>
    </row>
    <row r="11" spans="1:7" ht="25.5" customHeight="1">
      <c r="A11" s="909" t="s">
        <v>1025</v>
      </c>
      <c r="B11" s="910">
        <f>příjmy!B265+příjmy!B285+příjmy!B214+příjmy!B264+příjmy!B281+příjmy!B272</f>
        <v>1545.5</v>
      </c>
      <c r="E11" s="1043"/>
      <c r="G11" s="761"/>
    </row>
    <row r="12" spans="1:7" ht="25.5" customHeight="1">
      <c r="A12" s="909" t="s">
        <v>1237</v>
      </c>
      <c r="B12" s="910">
        <f>příjmy!B201+příjmy!B218+příjmy!B219+příjmy!B220</f>
        <v>4000</v>
      </c>
      <c r="E12" s="1043"/>
      <c r="G12" s="761"/>
    </row>
    <row r="13" spans="1:7" ht="25.5" customHeight="1">
      <c r="A13" s="909" t="s">
        <v>1236</v>
      </c>
      <c r="B13" s="910">
        <f>příjmy!B263+příjmy!B177</f>
        <v>54</v>
      </c>
      <c r="D13" s="322"/>
      <c r="E13" s="1043"/>
      <c r="F13" s="322"/>
      <c r="G13" s="761"/>
    </row>
    <row r="14" spans="1:7" ht="25.5" customHeight="1">
      <c r="A14" s="909" t="s">
        <v>1235</v>
      </c>
      <c r="B14" s="910">
        <f>příjmy!B188+příjmy!B273</f>
        <v>720</v>
      </c>
      <c r="D14" s="322"/>
      <c r="E14" s="1043"/>
      <c r="F14" s="322"/>
      <c r="G14" s="761"/>
    </row>
    <row r="15" spans="1:7" ht="25.5" customHeight="1">
      <c r="A15" s="909" t="s">
        <v>1227</v>
      </c>
      <c r="B15" s="910">
        <f>příjmy!B189+příjmy!B281</f>
        <v>450</v>
      </c>
      <c r="D15" s="322"/>
      <c r="E15" s="1043"/>
      <c r="F15" s="322"/>
      <c r="G15" s="761"/>
    </row>
    <row r="16" spans="1:7" ht="25.5" customHeight="1">
      <c r="A16" s="911" t="s">
        <v>1234</v>
      </c>
      <c r="B16" s="910">
        <f>příjmy!B274+příjmy!B275+příjmy!B190</f>
        <v>2279</v>
      </c>
      <c r="E16" s="1043"/>
      <c r="G16" s="761"/>
    </row>
    <row r="17" spans="1:7" ht="25.5" customHeight="1">
      <c r="A17" s="911" t="s">
        <v>1233</v>
      </c>
      <c r="B17" s="910">
        <f>příjmy!B276+příjmy!B277+příjmy!B191</f>
        <v>540</v>
      </c>
      <c r="E17" s="1043"/>
      <c r="G17" s="761"/>
    </row>
    <row r="18" spans="1:7" ht="25.5" customHeight="1">
      <c r="A18" s="911" t="s">
        <v>1232</v>
      </c>
      <c r="B18" s="912">
        <f>příjmy!B280+příjmy!B193</f>
        <v>250</v>
      </c>
      <c r="E18" s="1043"/>
      <c r="G18" s="761"/>
    </row>
    <row r="19" spans="1:7" ht="25.5" customHeight="1">
      <c r="A19" s="911" t="s">
        <v>1231</v>
      </c>
      <c r="B19" s="912">
        <f>příjmy!B192+příjmy!B278+příjmy!B279</f>
        <v>2882</v>
      </c>
      <c r="D19" s="322"/>
      <c r="E19" s="1043"/>
      <c r="G19" s="761"/>
    </row>
    <row r="20" spans="1:7" ht="25.5" customHeight="1">
      <c r="A20" s="911" t="s">
        <v>1262</v>
      </c>
      <c r="B20" s="912">
        <f>příjmy!B282</f>
        <v>30</v>
      </c>
      <c r="D20" s="322"/>
      <c r="E20" s="1043"/>
      <c r="G20" s="761"/>
    </row>
    <row r="21" spans="1:7" ht="25.5" customHeight="1">
      <c r="A21" s="913" t="s">
        <v>1080</v>
      </c>
      <c r="B21" s="912">
        <f>příjmy!B270</f>
        <v>131</v>
      </c>
      <c r="E21" s="1043"/>
      <c r="G21" s="761"/>
    </row>
    <row r="22" spans="1:7" ht="25.5" customHeight="1">
      <c r="A22" s="1034" t="s">
        <v>1239</v>
      </c>
      <c r="B22" s="912">
        <f>příjmy!B290</f>
        <v>126</v>
      </c>
      <c r="E22" s="1043"/>
      <c r="G22" s="761"/>
    </row>
    <row r="23" spans="1:7" ht="25.5" customHeight="1">
      <c r="A23" s="913" t="s">
        <v>1243</v>
      </c>
      <c r="B23" s="912">
        <f>příjmy!B293</f>
        <v>258</v>
      </c>
      <c r="E23" s="1043"/>
      <c r="G23" s="761"/>
    </row>
    <row r="24" spans="1:7" ht="25.5" customHeight="1">
      <c r="A24" s="913" t="s">
        <v>1027</v>
      </c>
      <c r="B24" s="912">
        <f>příjmy!B176</f>
        <v>60</v>
      </c>
      <c r="D24" s="478"/>
      <c r="E24" s="1043"/>
      <c r="G24" s="761"/>
    </row>
    <row r="25" spans="1:7" ht="25.5" customHeight="1">
      <c r="A25" s="913" t="s">
        <v>1242</v>
      </c>
      <c r="B25" s="912">
        <f>příjmy!B256+příjmy!B257</f>
        <v>686</v>
      </c>
      <c r="D25" s="478"/>
      <c r="E25" s="1043"/>
      <c r="G25" s="761"/>
    </row>
    <row r="26" spans="1:7" ht="25.5" customHeight="1">
      <c r="A26" s="913" t="s">
        <v>1265</v>
      </c>
      <c r="B26" s="912">
        <f>příjmy!B260</f>
        <v>30</v>
      </c>
      <c r="D26" s="478"/>
      <c r="E26" s="1043"/>
      <c r="G26" s="761"/>
    </row>
    <row r="27" spans="1:7" ht="25.5" customHeight="1">
      <c r="A27" s="913" t="s">
        <v>1264</v>
      </c>
      <c r="B27" s="912">
        <f>příjmy!B258</f>
        <v>14</v>
      </c>
      <c r="D27" s="478"/>
      <c r="E27" s="1043"/>
      <c r="G27" s="761"/>
    </row>
    <row r="28" spans="1:7" ht="25.5" customHeight="1">
      <c r="A28" s="1034" t="s">
        <v>1244</v>
      </c>
      <c r="B28" s="912">
        <f>příjmy!B288</f>
        <v>18</v>
      </c>
      <c r="D28" s="478"/>
      <c r="E28" s="1043"/>
      <c r="G28" s="761"/>
    </row>
    <row r="29" spans="1:7" ht="25.5" customHeight="1">
      <c r="A29" s="1034" t="s">
        <v>1282</v>
      </c>
      <c r="B29" s="912">
        <f>příjmy!B268</f>
        <v>125</v>
      </c>
      <c r="E29" s="1043"/>
      <c r="G29" s="761"/>
    </row>
    <row r="30" spans="1:7" ht="25.5" customHeight="1">
      <c r="A30" s="909" t="s">
        <v>1028</v>
      </c>
      <c r="B30" s="912">
        <f>položky!L5</f>
        <v>3219</v>
      </c>
      <c r="E30" s="1043"/>
      <c r="G30" s="761"/>
    </row>
    <row r="31" spans="1:7" ht="25.5" customHeight="1">
      <c r="A31" s="909" t="s">
        <v>1029</v>
      </c>
      <c r="B31" s="910">
        <f>příjmy!B113+příjmy!B115</f>
        <v>56</v>
      </c>
      <c r="E31" s="1043"/>
      <c r="G31" s="761"/>
    </row>
    <row r="32" spans="1:7" ht="27.75" thickBot="1">
      <c r="A32" s="909" t="s">
        <v>1030</v>
      </c>
      <c r="B32" s="910">
        <f>výdaje!B238</f>
        <v>40</v>
      </c>
      <c r="C32" s="729"/>
      <c r="E32" s="1043"/>
      <c r="G32" s="761"/>
    </row>
    <row r="33" spans="1:10" ht="25.5" customHeight="1" thickBot="1">
      <c r="A33" s="893" t="s">
        <v>407</v>
      </c>
      <c r="B33" s="894">
        <f>SUM(B34:B46)</f>
        <v>69380</v>
      </c>
      <c r="E33" s="1043"/>
      <c r="G33" s="761"/>
      <c r="J33" s="1049"/>
    </row>
    <row r="34" spans="1:7" ht="25.5" customHeight="1">
      <c r="A34" s="907" t="s">
        <v>1031</v>
      </c>
      <c r="B34" s="910">
        <f>příjmy!B108</f>
        <v>802</v>
      </c>
      <c r="D34" s="322"/>
      <c r="E34" s="1043"/>
      <c r="G34" s="761"/>
    </row>
    <row r="35" spans="1:7" ht="25.5" customHeight="1">
      <c r="A35" s="909" t="s">
        <v>1032</v>
      </c>
      <c r="B35" s="912">
        <f>příjmy!B114+příjmy!B116</f>
        <v>201</v>
      </c>
      <c r="E35" s="1043"/>
      <c r="G35" s="761"/>
    </row>
    <row r="36" spans="1:7" ht="25.5" customHeight="1">
      <c r="A36" s="909" t="s">
        <v>1033</v>
      </c>
      <c r="B36" s="910">
        <f>příjmy!B231+příjmy!B233+příjmy!B238</f>
        <v>900</v>
      </c>
      <c r="E36" s="1043"/>
      <c r="G36" s="761"/>
    </row>
    <row r="37" spans="1:7" ht="25.5" customHeight="1">
      <c r="A37" s="909" t="s">
        <v>1034</v>
      </c>
      <c r="B37" s="910">
        <f>příjmy!B230</f>
        <v>500</v>
      </c>
      <c r="E37" s="1043"/>
      <c r="G37" s="761"/>
    </row>
    <row r="38" spans="1:7" ht="25.5" customHeight="1">
      <c r="A38" s="909" t="s">
        <v>1035</v>
      </c>
      <c r="B38" s="910">
        <f>příjmy!B232</f>
        <v>226</v>
      </c>
      <c r="E38" s="1043"/>
      <c r="G38" s="761"/>
    </row>
    <row r="39" spans="1:7" ht="25.5" customHeight="1">
      <c r="A39" s="911" t="s">
        <v>1228</v>
      </c>
      <c r="B39" s="912">
        <f>příjmy!B261</f>
        <v>18057</v>
      </c>
      <c r="E39" s="1043"/>
      <c r="G39" s="761"/>
    </row>
    <row r="40" spans="1:7" ht="25.5" customHeight="1">
      <c r="A40" s="911" t="s">
        <v>1240</v>
      </c>
      <c r="B40" s="912">
        <f>příjmy!B253+příjmy!B254</f>
        <v>4252</v>
      </c>
      <c r="E40" s="1043"/>
      <c r="G40" s="761"/>
    </row>
    <row r="41" spans="1:7" ht="25.5" customHeight="1">
      <c r="A41" s="911" t="s">
        <v>1229</v>
      </c>
      <c r="B41" s="912">
        <f>příjmy!B262</f>
        <v>2674</v>
      </c>
      <c r="E41" s="1043"/>
      <c r="G41" s="761"/>
    </row>
    <row r="42" spans="1:7" ht="25.5" customHeight="1">
      <c r="A42" s="911" t="str">
        <f>příjmy!D300</f>
        <v>Dotace hřiště u T-klubu   2391  rozp. položka 2329</v>
      </c>
      <c r="B42" s="912">
        <f>příjmy!B300</f>
        <v>295</v>
      </c>
      <c r="E42" s="1043"/>
      <c r="G42" s="761"/>
    </row>
    <row r="43" spans="1:7" ht="25.5" customHeight="1">
      <c r="A43" s="911" t="s">
        <v>1256</v>
      </c>
      <c r="B43" s="912">
        <f>příjmy!B172</f>
        <v>2656</v>
      </c>
      <c r="E43" s="1043"/>
      <c r="G43" s="761"/>
    </row>
    <row r="44" spans="1:7" ht="25.5" customHeight="1">
      <c r="A44" s="1037" t="s">
        <v>1268</v>
      </c>
      <c r="B44" s="912">
        <f>příjmy!B296+příjmy!B299</f>
        <v>18305</v>
      </c>
      <c r="E44" s="1043"/>
      <c r="G44" s="761"/>
    </row>
    <row r="45" spans="1:7" ht="25.5" customHeight="1">
      <c r="A45" s="911" t="s">
        <v>1241</v>
      </c>
      <c r="B45" s="912">
        <f>příjmy!B204</f>
        <v>260</v>
      </c>
      <c r="E45" s="1043"/>
      <c r="G45" s="761"/>
    </row>
    <row r="46" spans="1:11" ht="33" customHeight="1" thickBot="1">
      <c r="A46" s="920" t="s">
        <v>754</v>
      </c>
      <c r="B46" s="921">
        <f>příjmy!B241-B32+příjmy!B240</f>
        <v>20252</v>
      </c>
      <c r="E46" s="1043"/>
      <c r="G46" s="761"/>
      <c r="K46" s="322"/>
    </row>
    <row r="47" spans="1:7" ht="21" thickBot="1">
      <c r="A47" s="1"/>
      <c r="B47" s="432"/>
      <c r="D47" s="322"/>
      <c r="E47" s="1043"/>
      <c r="G47" s="761"/>
    </row>
    <row r="48" spans="1:10" ht="38.25" customHeight="1" thickBot="1">
      <c r="A48" s="914" t="s">
        <v>408</v>
      </c>
      <c r="B48" s="915">
        <f>SUM(B50+B66)</f>
        <v>163822.5</v>
      </c>
      <c r="E48" s="1043"/>
      <c r="G48" s="1052"/>
      <c r="J48" s="1051"/>
    </row>
    <row r="49" spans="1:7" ht="21" thickBot="1">
      <c r="A49" s="239"/>
      <c r="B49" s="431"/>
      <c r="C49" s="729"/>
      <c r="D49" s="322"/>
      <c r="E49" s="1043"/>
      <c r="G49" s="761"/>
    </row>
    <row r="50" spans="1:11" ht="25.5" customHeight="1" thickBot="1">
      <c r="A50" s="893" t="s">
        <v>409</v>
      </c>
      <c r="B50" s="894">
        <f>SUM(B51:B65)</f>
        <v>59893.5</v>
      </c>
      <c r="D50" s="322"/>
      <c r="E50" s="1043"/>
      <c r="G50" s="761"/>
      <c r="I50" s="1050"/>
      <c r="J50" s="1051"/>
      <c r="K50" s="322"/>
    </row>
    <row r="51" spans="1:7" ht="25.5" customHeight="1">
      <c r="A51" s="909" t="s">
        <v>1036</v>
      </c>
      <c r="B51" s="910">
        <f>položky!AX5+položky!AY5+položky!AZ5</f>
        <v>16407</v>
      </c>
      <c r="D51" s="322"/>
      <c r="E51" s="1044"/>
      <c r="G51" s="761"/>
    </row>
    <row r="52" spans="1:7" ht="25.5" customHeight="1">
      <c r="A52" s="909" t="s">
        <v>1037</v>
      </c>
      <c r="B52" s="910">
        <f>položky!BA5+položky!BB5+položky!BC5+položky!BD5</f>
        <v>4405</v>
      </c>
      <c r="E52" s="1044"/>
      <c r="G52" s="761"/>
    </row>
    <row r="53" spans="1:7" ht="25.5" customHeight="1">
      <c r="A53" s="909" t="s">
        <v>1038</v>
      </c>
      <c r="B53" s="910">
        <f>položky!BE5-výdaje!B171-výdaje!B230</f>
        <v>3237.5</v>
      </c>
      <c r="E53" s="1045"/>
      <c r="G53" s="761"/>
    </row>
    <row r="54" spans="1:7" ht="25.5" customHeight="1">
      <c r="A54" s="909" t="s">
        <v>1039</v>
      </c>
      <c r="B54" s="910">
        <f>položky!BL5</f>
        <v>6168</v>
      </c>
      <c r="E54" s="1043"/>
      <c r="G54" s="761"/>
    </row>
    <row r="55" spans="1:7" ht="25.5" customHeight="1">
      <c r="A55" s="909" t="s">
        <v>1040</v>
      </c>
      <c r="B55" s="910">
        <f>položky!BS5-B65+výdaje!B588-výdaje!B454</f>
        <v>8259</v>
      </c>
      <c r="E55" s="1043"/>
      <c r="G55" s="761"/>
    </row>
    <row r="56" spans="1:7" ht="25.5" customHeight="1">
      <c r="A56" s="909" t="s">
        <v>1041</v>
      </c>
      <c r="B56" s="910">
        <f>položky!CA5-výdaje!B757</f>
        <v>1209</v>
      </c>
      <c r="E56" s="1043"/>
      <c r="G56" s="761"/>
    </row>
    <row r="57" spans="1:7" ht="25.5" customHeight="1">
      <c r="A57" s="909" t="s">
        <v>1042</v>
      </c>
      <c r="B57" s="910">
        <f>položky!CJ5</f>
        <v>77</v>
      </c>
      <c r="E57" s="1043"/>
      <c r="G57" s="761"/>
    </row>
    <row r="58" spans="1:7" ht="25.5" customHeight="1">
      <c r="A58" s="909" t="s">
        <v>1043</v>
      </c>
      <c r="B58" s="910">
        <f>položky!CO5</f>
        <v>4353</v>
      </c>
      <c r="E58" s="1043"/>
      <c r="G58" s="761"/>
    </row>
    <row r="59" spans="1:7" ht="25.5" customHeight="1">
      <c r="A59" s="909" t="s">
        <v>1044</v>
      </c>
      <c r="B59" s="910">
        <f>položky!CM5</f>
        <v>1678</v>
      </c>
      <c r="C59" s="745"/>
      <c r="E59" s="1043"/>
      <c r="G59" s="761"/>
    </row>
    <row r="60" spans="1:7" ht="25.5" customHeight="1">
      <c r="A60" s="909" t="s">
        <v>1045</v>
      </c>
      <c r="B60" s="912">
        <f>položky!CT5</f>
        <v>142</v>
      </c>
      <c r="C60" s="745"/>
      <c r="E60" s="1043"/>
      <c r="G60" s="761"/>
    </row>
    <row r="61" spans="1:7" ht="25.5" customHeight="1">
      <c r="A61" s="911" t="s">
        <v>1266</v>
      </c>
      <c r="B61" s="912">
        <f>položky!CS5-B62-B63+výdaje!B703</f>
        <v>8048</v>
      </c>
      <c r="D61" s="322"/>
      <c r="E61" s="1043"/>
      <c r="G61" s="761"/>
    </row>
    <row r="62" spans="1:7" ht="25.5" customHeight="1">
      <c r="A62" s="913" t="s">
        <v>1046</v>
      </c>
      <c r="B62" s="910">
        <f>výdaje!B655</f>
        <v>4670</v>
      </c>
      <c r="D62" s="322"/>
      <c r="E62" s="1043"/>
      <c r="G62" s="761"/>
    </row>
    <row r="63" spans="1:7" ht="25.5" customHeight="1">
      <c r="A63" s="913" t="s">
        <v>1047</v>
      </c>
      <c r="B63" s="910">
        <f>výdaje!B667</f>
        <v>610</v>
      </c>
      <c r="E63" s="1043"/>
      <c r="G63" s="761"/>
    </row>
    <row r="64" spans="1:7" ht="25.5" customHeight="1">
      <c r="A64" s="909" t="s">
        <v>746</v>
      </c>
      <c r="B64" s="910">
        <f>výdaje!B237+výdaje!B238</f>
        <v>40</v>
      </c>
      <c r="E64" s="1043"/>
      <c r="G64" s="761"/>
    </row>
    <row r="65" spans="1:7" ht="27.75" thickBot="1">
      <c r="A65" s="909" t="s">
        <v>1048</v>
      </c>
      <c r="B65" s="910">
        <f>výdaje!B455</f>
        <v>590</v>
      </c>
      <c r="C65" s="729"/>
      <c r="D65" s="322"/>
      <c r="E65" s="1043"/>
      <c r="G65" s="761"/>
    </row>
    <row r="66" spans="1:14" s="897" customFormat="1" ht="25.5" customHeight="1" thickBot="1">
      <c r="A66" s="893" t="s">
        <v>420</v>
      </c>
      <c r="B66" s="894">
        <f>SUM(B67:B95)</f>
        <v>103929</v>
      </c>
      <c r="C66" s="895" t="s">
        <v>591</v>
      </c>
      <c r="D66" s="896"/>
      <c r="E66" s="1043"/>
      <c r="F66"/>
      <c r="G66" s="761"/>
      <c r="H66"/>
      <c r="I66"/>
      <c r="J66" s="1051"/>
      <c r="K66"/>
      <c r="L66"/>
      <c r="M66"/>
      <c r="N66"/>
    </row>
    <row r="67" spans="1:7" s="897" customFormat="1" ht="25.5" customHeight="1">
      <c r="A67" s="919" t="str">
        <f>výdaje!D717</f>
        <v>Kanalizace II. etapa   3301     rozp. položka  6121,  6129  (řešení financování DPH atp.) a související výdaje</v>
      </c>
      <c r="B67" s="922">
        <f>výdaje!B717</f>
        <v>69362</v>
      </c>
      <c r="C67" s="895" t="s">
        <v>591</v>
      </c>
      <c r="E67" s="1043"/>
      <c r="G67" s="761"/>
    </row>
    <row r="68" spans="1:7" s="897" customFormat="1" ht="25.5" customHeight="1">
      <c r="A68" s="911" t="str">
        <f>výdaje!D716</f>
        <v>Energetické úspory u budov školní jídelny a školní družiny 1314    rozp. položka 6121 (vč. dalších prací)</v>
      </c>
      <c r="B68" s="922">
        <f>výdaje!B716</f>
        <v>8420</v>
      </c>
      <c r="C68" s="895" t="s">
        <v>1202</v>
      </c>
      <c r="E68" s="1046"/>
      <c r="G68" s="761"/>
    </row>
    <row r="69" spans="1:7" s="897" customFormat="1" ht="25.5" customHeight="1">
      <c r="A69" s="911" t="str">
        <f>výdaje!D718</f>
        <v>CSI  (dům služeb)  1357    rozp. položka  6121, dle schválení dotace</v>
      </c>
      <c r="B69" s="922">
        <f>výdaje!B718</f>
        <v>3000</v>
      </c>
      <c r="C69" s="895"/>
      <c r="E69" s="1046"/>
      <c r="G69" s="761"/>
    </row>
    <row r="70" spans="1:7" s="897" customFormat="1" ht="25.5" customHeight="1">
      <c r="A70" s="911" t="str">
        <f>výdaje!D719</f>
        <v>Projektové dokumentace a dokumenty pro projekty financované ze zdrojů EU  0394    rozp.pol. 6121 a ÚP</v>
      </c>
      <c r="B70" s="922">
        <f>výdaje!B719</f>
        <v>1100</v>
      </c>
      <c r="C70" s="895"/>
      <c r="E70" s="1043"/>
      <c r="G70" s="761"/>
    </row>
    <row r="71" spans="1:7" s="897" customFormat="1" ht="25.5" customHeight="1">
      <c r="A71" s="911" t="str">
        <f>výdaje!D720</f>
        <v>Inženýrské služby   1394    rozp. položka 5169</v>
      </c>
      <c r="B71" s="922">
        <f>výdaje!B720</f>
        <v>100</v>
      </c>
      <c r="C71" s="895"/>
      <c r="E71" s="1043"/>
      <c r="G71" s="761"/>
    </row>
    <row r="72" spans="1:7" s="897" customFormat="1" ht="25.5" customHeight="1">
      <c r="A72" s="911" t="str">
        <f>výdaje!D721</f>
        <v>Zeleň ve městě       1387    rozp. položky  5139,  5169</v>
      </c>
      <c r="B72" s="922">
        <f>výdaje!B721</f>
        <v>90</v>
      </c>
      <c r="C72" s="895"/>
      <c r="E72" s="1043"/>
      <c r="G72" s="761"/>
    </row>
    <row r="73" spans="1:7" s="897" customFormat="1" ht="25.5" customHeight="1">
      <c r="A73" s="911" t="str">
        <f>výdaje!D723</f>
        <v>Odkup pozemků od PF, případ. dalších majitelů   0359    rozp. položka  6130</v>
      </c>
      <c r="B73" s="922">
        <f>výdaje!B723</f>
        <v>100</v>
      </c>
      <c r="C73" s="895"/>
      <c r="E73" s="1043"/>
      <c r="G73" s="761"/>
    </row>
    <row r="74" spans="1:7" s="897" customFormat="1" ht="25.5" customHeight="1">
      <c r="A74" s="911" t="str">
        <f>výdaje!D724</f>
        <v>Příspěvek na odpisy přísp.org.ZŠ Kr.Lípa   1311   rozp. položka  5331</v>
      </c>
      <c r="B74" s="922">
        <f>výdaje!B724</f>
        <v>345</v>
      </c>
      <c r="C74" s="895"/>
      <c r="E74" s="1043"/>
      <c r="G74" s="761"/>
    </row>
    <row r="75" spans="1:7" s="897" customFormat="1" ht="25.5" customHeight="1">
      <c r="A75" s="911" t="str">
        <f>výdaje!D736</f>
        <v>Účelový příspěvek p.o. ZŠ a MŠ na sportovní areál  2311   rozp. položka  5331</v>
      </c>
      <c r="B75" s="922">
        <f>výdaje!B736</f>
        <v>60</v>
      </c>
      <c r="C75" s="895"/>
      <c r="E75" s="1043"/>
      <c r="G75" s="761"/>
    </row>
    <row r="76" spans="1:7" s="897" customFormat="1" ht="25.5" customHeight="1">
      <c r="A76" s="911" t="str">
        <f>výdaje!D726</f>
        <v>Příspěvek na odpisy přísp. org. KOSTKA Kr. Lípa  1376    rozp. položka 5331</v>
      </c>
      <c r="B76" s="922">
        <f>výdaje!B726</f>
        <v>3</v>
      </c>
      <c r="C76" s="895"/>
      <c r="E76" s="1043"/>
      <c r="G76" s="761"/>
    </row>
    <row r="77" spans="1:7" s="897" customFormat="1" ht="25.5" customHeight="1">
      <c r="A77" s="911" t="str">
        <f>výdaje!D734</f>
        <v>Malé městské stavby   1388      rozp. položka 5139</v>
      </c>
      <c r="B77" s="922">
        <f>výdaje!B734</f>
        <v>150</v>
      </c>
      <c r="C77" s="895"/>
      <c r="E77" s="1043"/>
      <c r="G77" s="761"/>
    </row>
    <row r="78" spans="1:7" s="897" customFormat="1" ht="25.5" customHeight="1">
      <c r="A78" s="911" t="str">
        <f>výdaje!D743</f>
        <v>TS-oprava budov - fasáda  0383    rozp. položka  6121</v>
      </c>
      <c r="B78" s="922">
        <f>výdaje!B743</f>
        <v>700</v>
      </c>
      <c r="C78" s="895"/>
      <c r="E78" s="1043"/>
      <c r="G78" s="761"/>
    </row>
    <row r="79" spans="1:7" s="897" customFormat="1" ht="25.5" customHeight="1">
      <c r="A79" s="911" t="str">
        <f>výdaje!D745</f>
        <v>Investice a velké opravy SMM   0380    rozp. položky  6121,  5169</v>
      </c>
      <c r="B79" s="922">
        <f>výdaje!B745</f>
        <v>1100</v>
      </c>
      <c r="C79" s="895"/>
      <c r="E79" s="1043"/>
      <c r="G79" s="761"/>
    </row>
    <row r="80" spans="1:7" s="897" customFormat="1" ht="25.5" customHeight="1">
      <c r="A80" s="911" t="str">
        <f>výdaje!D764</f>
        <v>Rekonstrukce kabin na hřišti  1391  rozp. položka 6121</v>
      </c>
      <c r="B80" s="910">
        <f>výdaje!B764</f>
        <v>200</v>
      </c>
      <c r="C80" s="898"/>
      <c r="D80" s="899"/>
      <c r="E80" s="1043"/>
      <c r="G80" s="761"/>
    </row>
    <row r="81" spans="1:7" s="897" customFormat="1" ht="25.5" customHeight="1">
      <c r="A81" s="911" t="str">
        <f>výdaje!D773</f>
        <v>Invetiční účelová půjčka pro KČT Krásná Lípa    0391     rozp. položka  6429</v>
      </c>
      <c r="B81" s="912">
        <f>výdaje!B773</f>
        <v>260</v>
      </c>
      <c r="C81" s="898"/>
      <c r="D81" s="899"/>
      <c r="E81" s="1045"/>
      <c r="F81" s="899"/>
      <c r="G81" s="761"/>
    </row>
    <row r="82" spans="1:7" s="897" customFormat="1" ht="25.5" customHeight="1">
      <c r="A82" s="911" t="str">
        <f>výdaje!D774</f>
        <v>Příspěvek KČT - kompenzace 10% spoluúčasti projektu Rekonstrukce rozhledny Vlčí Hora  3391  rozp. položka  5229</v>
      </c>
      <c r="B82" s="912">
        <f>výdaje!B774</f>
        <v>24</v>
      </c>
      <c r="C82" s="898"/>
      <c r="D82" s="900"/>
      <c r="E82" s="1045"/>
      <c r="F82" s="899"/>
      <c r="G82" s="761"/>
    </row>
    <row r="83" spans="1:7" s="897" customFormat="1" ht="25.5" customHeight="1">
      <c r="A83" s="911" t="str">
        <f>výdaje!D776</f>
        <v>Vyrovnání povrchu ulice u objektu Nemocniční 6        1381  rozp. položka  5169</v>
      </c>
      <c r="B83" s="912">
        <f>výdaje!B776</f>
        <v>120</v>
      </c>
      <c r="C83" s="898"/>
      <c r="D83" s="900"/>
      <c r="E83" s="1045"/>
      <c r="F83" s="899"/>
      <c r="G83" s="761"/>
    </row>
    <row r="84" spans="1:7" s="897" customFormat="1" ht="25.5" customHeight="1">
      <c r="A84" s="911" t="str">
        <f>výdaje!D777</f>
        <v>Oprava vnějšku domů Křinické náměstí 1 a Masarykova 1,  1358  rozp. položka 5171</v>
      </c>
      <c r="B84" s="912">
        <f>výdaje!B777</f>
        <v>200</v>
      </c>
      <c r="C84" s="898"/>
      <c r="D84" s="900"/>
      <c r="E84" s="1045"/>
      <c r="F84" s="899"/>
      <c r="G84" s="761"/>
    </row>
    <row r="85" spans="1:7" s="897" customFormat="1" ht="25.5" customHeight="1">
      <c r="A85" s="911" t="str">
        <f>výdaje!D778</f>
        <v>Kino-KD - vnější přístavba (nástup na podium) - 1. etapa - hrubá stavba     1341  rozp. položka 6121</v>
      </c>
      <c r="B85" s="912">
        <f>výdaje!B778</f>
        <v>400</v>
      </c>
      <c r="C85" s="898"/>
      <c r="D85" s="900"/>
      <c r="E85" s="1045"/>
      <c r="F85" s="899"/>
      <c r="G85" s="761"/>
    </row>
    <row r="86" spans="1:7" s="897" customFormat="1" ht="25.5" customHeight="1">
      <c r="A86" s="911" t="str">
        <f>výdaje!D779</f>
        <v>Kino -KD dataprojektor a bluray (vč. souvisejícího)    6341  rozp.položka  6122</v>
      </c>
      <c r="B86" s="912">
        <f>výdaje!B779</f>
        <v>215</v>
      </c>
      <c r="C86" s="898"/>
      <c r="D86" s="900"/>
      <c r="E86" s="1045"/>
      <c r="F86" s="899"/>
      <c r="G86" s="761"/>
    </row>
    <row r="87" spans="1:7" s="897" customFormat="1" ht="25.5" customHeight="1">
      <c r="A87" s="911" t="str">
        <f>výdaje!D780</f>
        <v>Střecha a související náklady v 1. MŠ     0311   rozp. položka 6121</v>
      </c>
      <c r="B87" s="912">
        <f>výdaje!B780</f>
        <v>660</v>
      </c>
      <c r="C87" s="898"/>
      <c r="D87" s="900"/>
      <c r="E87" s="1045"/>
      <c r="F87" s="899"/>
      <c r="G87" s="761"/>
    </row>
    <row r="88" spans="1:7" s="897" customFormat="1" ht="25.5" customHeight="1">
      <c r="A88" s="911" t="str">
        <f>výdaje!D781</f>
        <v>Okna v 2. NP Radnice a chodba (schodiště) a okna do zaseací místnosti vč. zateplení zasedací místnosti a souvisejících prací   0356   rozp. položka 6121</v>
      </c>
      <c r="B88" s="912">
        <f>výdaje!B781</f>
        <v>550</v>
      </c>
      <c r="C88" s="898"/>
      <c r="D88" s="900"/>
      <c r="E88" s="1045"/>
      <c r="F88" s="899"/>
      <c r="G88" s="761"/>
    </row>
    <row r="89" spans="1:7" s="897" customFormat="1" ht="25.5" customHeight="1">
      <c r="A89" s="911" t="str">
        <f>výdaje!D783</f>
        <v>Podíl na odkoupení parkoviště v Pražské ulici   8305   rozp. položka 6129</v>
      </c>
      <c r="B89" s="912">
        <f>výdaje!B783</f>
        <v>350</v>
      </c>
      <c r="C89" s="898"/>
      <c r="D89" s="900"/>
      <c r="E89" s="1045"/>
      <c r="F89" s="899"/>
      <c r="G89" s="761"/>
    </row>
    <row r="90" spans="1:7" s="897" customFormat="1" ht="25.5" customHeight="1">
      <c r="A90" s="911" t="str">
        <f>výdaje!D784</f>
        <v>Varovný protipovodňový systém (SFŽP ČR)     4301   rozp. položka   6129</v>
      </c>
      <c r="B90" s="912">
        <f>výdaje!B784</f>
        <v>2978</v>
      </c>
      <c r="C90" s="898"/>
      <c r="D90" s="900"/>
      <c r="E90" s="1045"/>
      <c r="F90" s="899"/>
      <c r="G90" s="761"/>
    </row>
    <row r="91" spans="1:7" s="897" customFormat="1" ht="25.5" customHeight="1">
      <c r="A91" s="911" t="str">
        <f>výdaje!D782</f>
        <v>Hřiště u T- klubu     2391   rozp. položka   6121</v>
      </c>
      <c r="B91" s="912">
        <f>výdaje!B782</f>
        <v>400</v>
      </c>
      <c r="C91" s="898"/>
      <c r="D91" s="900"/>
      <c r="E91" s="1045"/>
      <c r="F91" s="899"/>
      <c r="G91" s="761"/>
    </row>
    <row r="92" spans="1:7" s="897" customFormat="1" ht="25.5" customHeight="1">
      <c r="A92" s="911" t="str">
        <f>výdaje!D785</f>
        <v>Nákup čistícího vozu    1306  rozp. položka   6123</v>
      </c>
      <c r="B92" s="912">
        <f>výdaje!B785</f>
        <v>2951</v>
      </c>
      <c r="C92" s="895"/>
      <c r="E92" s="1045"/>
      <c r="F92" s="899"/>
      <c r="G92" s="761"/>
    </row>
    <row r="93" spans="1:7" s="897" customFormat="1" ht="25.5" customHeight="1">
      <c r="A93" s="911" t="str">
        <f>výdaje!D786</f>
        <v>I.rozpočtová rezerva  1390   rozp. položka 6129</v>
      </c>
      <c r="B93" s="910">
        <f>výdaje!B786</f>
        <v>348</v>
      </c>
      <c r="C93" s="895"/>
      <c r="D93" s="896"/>
      <c r="E93" s="1043"/>
      <c r="G93" s="761"/>
    </row>
    <row r="94" spans="1:7" s="897" customFormat="1" ht="25.5" customHeight="1">
      <c r="A94" s="923" t="str">
        <f>výdaje!D787</f>
        <v>II.rezerva na projekty    1390   rozp. položka 6129</v>
      </c>
      <c r="B94" s="910">
        <f>výdaje!B787</f>
        <v>3144</v>
      </c>
      <c r="C94" s="895"/>
      <c r="E94" s="1043"/>
      <c r="G94" s="761"/>
    </row>
    <row r="95" spans="1:14" ht="24.75" customHeight="1" thickBot="1">
      <c r="A95" s="924" t="str">
        <f>výdaje!D788</f>
        <v>Rezerva pro vrácení kaucí a záloh    2390  rozp. položka 6129</v>
      </c>
      <c r="B95" s="925">
        <f>výdaje!B788</f>
        <v>6599</v>
      </c>
      <c r="E95" s="1043"/>
      <c r="F95" s="897"/>
      <c r="G95" s="761"/>
      <c r="H95" s="897"/>
      <c r="I95" s="897"/>
      <c r="J95" s="897"/>
      <c r="K95" s="897"/>
      <c r="L95" s="897"/>
      <c r="M95" s="897"/>
      <c r="N95" s="897"/>
    </row>
    <row r="96" spans="1:7" ht="21" thickBot="1">
      <c r="A96" s="1"/>
      <c r="B96" s="433"/>
      <c r="D96" s="479"/>
      <c r="E96" s="1043"/>
      <c r="G96" s="761"/>
    </row>
    <row r="97" spans="1:7" ht="25.5" customHeight="1" thickBot="1">
      <c r="A97" s="914" t="s">
        <v>425</v>
      </c>
      <c r="B97" s="918">
        <f>SUM(B98:B99)</f>
        <v>32339</v>
      </c>
      <c r="E97" s="1043"/>
      <c r="G97" s="761"/>
    </row>
    <row r="98" spans="1:7" ht="25.5" customHeight="1">
      <c r="A98" s="919" t="s">
        <v>745</v>
      </c>
      <c r="B98" s="908">
        <f>-(Financování!B21+Financování!B22)</f>
        <v>-1252</v>
      </c>
      <c r="E98" s="1043"/>
      <c r="G98" s="761"/>
    </row>
    <row r="99" spans="1:7" ht="21.75" customHeight="1" thickBot="1">
      <c r="A99" s="920" t="s">
        <v>1069</v>
      </c>
      <c r="B99" s="921">
        <f>Financování!B9</f>
        <v>33591</v>
      </c>
      <c r="E99" s="1043"/>
      <c r="G99" s="761"/>
    </row>
    <row r="100" spans="1:2" ht="21" customHeight="1">
      <c r="A100" s="905"/>
      <c r="B100" s="906"/>
    </row>
    <row r="101" spans="1:2" ht="21" customHeight="1">
      <c r="A101" s="904" t="s">
        <v>1208</v>
      </c>
      <c r="B101" s="1"/>
    </row>
    <row r="102" spans="1:2" ht="21" customHeight="1">
      <c r="A102" s="904" t="s">
        <v>1209</v>
      </c>
      <c r="B102" s="1"/>
    </row>
    <row r="103" spans="1:2" ht="14.25">
      <c r="A103" s="748"/>
      <c r="B103" s="1"/>
    </row>
    <row r="104" spans="1:2" ht="12.75">
      <c r="A104" s="240"/>
      <c r="B104" s="104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</sheetData>
  <sheetProtection/>
  <printOptions/>
  <pageMargins left="0.5905511811023623" right="0.3937007874015748" top="0" bottom="0" header="0.5118110236220472" footer="0.5118110236220472"/>
  <pageSetup horizontalDpi="300" verticalDpi="3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0.875" style="1" customWidth="1"/>
    <col min="4" max="4" width="16.125" style="1" customWidth="1"/>
    <col min="5" max="16384" width="9.00390625" style="1" customWidth="1"/>
  </cols>
  <sheetData>
    <row r="1" ht="12.75">
      <c r="D1" s="1" t="s">
        <v>426</v>
      </c>
    </row>
    <row r="3" spans="1:3" ht="20.25">
      <c r="A3" s="242" t="s">
        <v>1220</v>
      </c>
      <c r="B3" s="242"/>
      <c r="C3" s="242"/>
    </row>
    <row r="4" spans="1:3" ht="20.25">
      <c r="A4" s="242" t="s">
        <v>696</v>
      </c>
      <c r="B4" s="242"/>
      <c r="C4" s="242"/>
    </row>
    <row r="5" spans="1:3" ht="20.25">
      <c r="A5" s="242" t="s">
        <v>1278</v>
      </c>
      <c r="B5" s="242"/>
      <c r="C5" s="242"/>
    </row>
    <row r="6" ht="13.5" thickBot="1">
      <c r="A6" s="1" t="s">
        <v>427</v>
      </c>
    </row>
    <row r="7" spans="1:4" ht="18.75">
      <c r="A7" s="243" t="s">
        <v>428</v>
      </c>
      <c r="B7" s="548" t="s">
        <v>429</v>
      </c>
      <c r="C7" s="244" t="s">
        <v>697</v>
      </c>
      <c r="D7" s="244" t="s">
        <v>430</v>
      </c>
    </row>
    <row r="8" spans="1:4" ht="19.5" thickBot="1">
      <c r="A8" s="245"/>
      <c r="B8" s="549"/>
      <c r="C8" s="247"/>
      <c r="D8" s="248" t="s">
        <v>431</v>
      </c>
    </row>
    <row r="9" spans="1:4" ht="15.75">
      <c r="A9" s="1011"/>
      <c r="B9" s="1012"/>
      <c r="C9" s="1013"/>
      <c r="D9" s="250"/>
    </row>
    <row r="10" spans="1:4" ht="15.75">
      <c r="A10" s="249"/>
      <c r="B10" s="1014"/>
      <c r="C10" s="1015"/>
      <c r="D10" s="251"/>
    </row>
    <row r="11" spans="1:4" ht="15.75">
      <c r="A11" s="1016"/>
      <c r="B11" s="1017"/>
      <c r="C11" s="1018"/>
      <c r="D11" s="250"/>
    </row>
    <row r="12" spans="1:4" ht="18.75">
      <c r="A12" s="252" t="s">
        <v>358</v>
      </c>
      <c r="B12" s="253"/>
      <c r="C12" s="749"/>
      <c r="D12" s="254"/>
    </row>
    <row r="13" spans="1:4" ht="15.75" thickBot="1">
      <c r="A13" s="255"/>
      <c r="B13" s="256"/>
      <c r="C13" s="750"/>
      <c r="D13" s="257"/>
    </row>
    <row r="14" spans="1:4" ht="18.75" thickBot="1">
      <c r="A14" s="258" t="s">
        <v>432</v>
      </c>
      <c r="B14" s="259"/>
      <c r="C14" s="751"/>
      <c r="D14" s="260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3"/>
  <sheetViews>
    <sheetView zoomScale="70" zoomScaleNormal="70" zoomScalePageLayoutView="0" workbookViewId="0" topLeftCell="A52">
      <selection activeCell="A34" sqref="A34"/>
    </sheetView>
  </sheetViews>
  <sheetFormatPr defaultColWidth="9.00390625" defaultRowHeight="12.75"/>
  <cols>
    <col min="1" max="1" width="37.125" style="1" customWidth="1"/>
    <col min="2" max="2" width="118.7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261" t="s">
        <v>634</v>
      </c>
      <c r="B2" s="262"/>
    </row>
    <row r="3" spans="1:5" ht="18.75">
      <c r="A3" s="243" t="s">
        <v>428</v>
      </c>
      <c r="B3" s="243" t="s">
        <v>433</v>
      </c>
      <c r="C3" s="263" t="s">
        <v>434</v>
      </c>
      <c r="D3" s="263" t="s">
        <v>435</v>
      </c>
      <c r="E3" s="263" t="s">
        <v>430</v>
      </c>
    </row>
    <row r="4" spans="1:5" ht="19.5" thickBot="1">
      <c r="A4" s="245"/>
      <c r="B4" s="246"/>
      <c r="C4" s="264" t="s">
        <v>436</v>
      </c>
      <c r="D4" s="264" t="s">
        <v>436</v>
      </c>
      <c r="E4" s="264" t="s">
        <v>431</v>
      </c>
    </row>
    <row r="5" spans="1:5" ht="15">
      <c r="A5" s="770" t="s">
        <v>437</v>
      </c>
      <c r="B5" s="771" t="s">
        <v>705</v>
      </c>
      <c r="C5" s="772">
        <v>30000</v>
      </c>
      <c r="D5" s="773">
        <v>30000</v>
      </c>
      <c r="E5" s="774">
        <v>5139</v>
      </c>
    </row>
    <row r="6" spans="1:5" ht="15">
      <c r="A6" s="775"/>
      <c r="B6" s="709" t="s">
        <v>802</v>
      </c>
      <c r="C6" s="776">
        <v>10000</v>
      </c>
      <c r="D6" s="777">
        <v>10000</v>
      </c>
      <c r="E6" s="710">
        <v>5156</v>
      </c>
    </row>
    <row r="7" spans="1:5" ht="15">
      <c r="A7" s="775"/>
      <c r="B7" s="711" t="s">
        <v>192</v>
      </c>
      <c r="C7" s="776">
        <v>40000</v>
      </c>
      <c r="D7" s="777">
        <v>30000</v>
      </c>
      <c r="E7" s="710">
        <v>5169</v>
      </c>
    </row>
    <row r="8" spans="1:5" ht="15">
      <c r="A8" s="775"/>
      <c r="B8" s="711" t="s">
        <v>803</v>
      </c>
      <c r="C8" s="776">
        <v>26000</v>
      </c>
      <c r="D8" s="777">
        <v>26000</v>
      </c>
      <c r="E8" s="710">
        <v>5021</v>
      </c>
    </row>
    <row r="9" spans="1:5" ht="18.75">
      <c r="A9" s="252" t="s">
        <v>358</v>
      </c>
      <c r="B9" s="778"/>
      <c r="C9" s="266">
        <f>SUM(C5:C8)</f>
        <v>106000</v>
      </c>
      <c r="D9" s="266">
        <f>SUM(D5:D8)</f>
        <v>96000</v>
      </c>
      <c r="E9" s="496"/>
    </row>
    <row r="10" spans="1:5" ht="15.75">
      <c r="A10" s="265"/>
      <c r="B10" s="267"/>
      <c r="C10" s="268"/>
      <c r="D10" s="268"/>
      <c r="E10" s="721"/>
    </row>
    <row r="11" spans="1:5" ht="15.75">
      <c r="A11" s="712" t="s">
        <v>438</v>
      </c>
      <c r="B11" s="709" t="s">
        <v>708</v>
      </c>
      <c r="C11" s="713">
        <v>0</v>
      </c>
      <c r="D11" s="722">
        <v>0</v>
      </c>
      <c r="E11" s="710"/>
    </row>
    <row r="12" spans="1:5" ht="18.75">
      <c r="A12" s="252" t="s">
        <v>358</v>
      </c>
      <c r="B12" s="269"/>
      <c r="C12" s="266">
        <f>SUM(C11:C11)</f>
        <v>0</v>
      </c>
      <c r="D12" s="266">
        <f>SUM(D11:D11)</f>
        <v>0</v>
      </c>
      <c r="E12" s="496"/>
    </row>
    <row r="13" spans="1:5" ht="15.75">
      <c r="A13" s="265"/>
      <c r="B13" s="267"/>
      <c r="C13" s="268"/>
      <c r="D13" s="268"/>
      <c r="E13" s="710"/>
    </row>
    <row r="14" spans="1:5" ht="15">
      <c r="A14" s="770" t="s">
        <v>439</v>
      </c>
      <c r="B14" s="779" t="s">
        <v>706</v>
      </c>
      <c r="C14" s="780">
        <v>400000</v>
      </c>
      <c r="D14" s="781">
        <v>330000</v>
      </c>
      <c r="E14" s="710">
        <v>5139</v>
      </c>
    </row>
    <row r="15" spans="1:5" ht="15">
      <c r="A15" s="775"/>
      <c r="B15" s="709" t="s">
        <v>801</v>
      </c>
      <c r="C15" s="780">
        <v>600000</v>
      </c>
      <c r="D15" s="781">
        <v>600000</v>
      </c>
      <c r="E15" s="710">
        <v>5156</v>
      </c>
    </row>
    <row r="16" spans="1:5" ht="15">
      <c r="A16" s="775"/>
      <c r="B16" s="782" t="s">
        <v>707</v>
      </c>
      <c r="C16" s="780">
        <v>30000</v>
      </c>
      <c r="D16" s="781">
        <v>30000</v>
      </c>
      <c r="E16" s="710">
        <v>5171</v>
      </c>
    </row>
    <row r="17" spans="1:5" ht="18.75">
      <c r="A17" s="831" t="s">
        <v>358</v>
      </c>
      <c r="B17" s="832"/>
      <c r="C17" s="833">
        <f>SUM(C14:C16)</f>
        <v>1030000</v>
      </c>
      <c r="D17" s="833">
        <f>SUM(D14:D16)</f>
        <v>960000</v>
      </c>
      <c r="E17" s="834"/>
    </row>
    <row r="18" spans="1:5" ht="15">
      <c r="A18" s="785"/>
      <c r="B18" s="786"/>
      <c r="C18" s="776"/>
      <c r="D18" s="776"/>
      <c r="E18" s="710"/>
    </row>
    <row r="19" spans="1:5" ht="15.75">
      <c r="A19" s="712" t="s">
        <v>153</v>
      </c>
      <c r="B19" s="709" t="s">
        <v>813</v>
      </c>
      <c r="C19" s="787">
        <v>20000</v>
      </c>
      <c r="D19" s="788">
        <v>20000</v>
      </c>
      <c r="E19" s="710">
        <v>5139</v>
      </c>
    </row>
    <row r="20" spans="1:5" ht="15.75">
      <c r="A20" s="712"/>
      <c r="B20" s="709" t="s">
        <v>741</v>
      </c>
      <c r="C20" s="787">
        <v>55000</v>
      </c>
      <c r="D20" s="788">
        <v>55000</v>
      </c>
      <c r="E20" s="710">
        <v>5021</v>
      </c>
    </row>
    <row r="21" spans="1:5" ht="15.75">
      <c r="A21" s="712"/>
      <c r="B21" s="709" t="s">
        <v>817</v>
      </c>
      <c r="C21" s="787">
        <v>20000</v>
      </c>
      <c r="D21" s="788">
        <v>20000</v>
      </c>
      <c r="E21" s="710">
        <v>5162</v>
      </c>
    </row>
    <row r="22" spans="1:5" ht="15.75">
      <c r="A22" s="712"/>
      <c r="B22" s="711" t="s">
        <v>635</v>
      </c>
      <c r="C22" s="787">
        <v>130000</v>
      </c>
      <c r="D22" s="788">
        <v>130000</v>
      </c>
      <c r="E22" s="710">
        <v>5169</v>
      </c>
    </row>
    <row r="23" spans="1:5" ht="15.75">
      <c r="A23" s="712"/>
      <c r="B23" s="789" t="s">
        <v>816</v>
      </c>
      <c r="C23" s="787">
        <v>5000</v>
      </c>
      <c r="D23" s="788">
        <v>5000</v>
      </c>
      <c r="E23" s="710">
        <v>5161</v>
      </c>
    </row>
    <row r="24" spans="1:5" ht="15.75">
      <c r="A24" s="712"/>
      <c r="B24" s="790" t="s">
        <v>814</v>
      </c>
      <c r="C24" s="787">
        <v>20000</v>
      </c>
      <c r="D24" s="788">
        <v>25000</v>
      </c>
      <c r="E24" s="710">
        <v>5171</v>
      </c>
    </row>
    <row r="25" spans="1:5" ht="15.75">
      <c r="A25" s="712"/>
      <c r="B25" s="790" t="s">
        <v>815</v>
      </c>
      <c r="C25" s="787">
        <v>5000</v>
      </c>
      <c r="D25" s="788">
        <v>5000</v>
      </c>
      <c r="E25" s="710">
        <v>5173</v>
      </c>
    </row>
    <row r="26" spans="1:5" ht="15.75">
      <c r="A26" s="791"/>
      <c r="B26" s="714" t="s">
        <v>636</v>
      </c>
      <c r="C26" s="787">
        <v>400000</v>
      </c>
      <c r="D26" s="788">
        <v>400000</v>
      </c>
      <c r="E26" s="710" t="s">
        <v>275</v>
      </c>
    </row>
    <row r="27" spans="1:5" ht="15.75">
      <c r="A27" s="791"/>
      <c r="B27" s="714" t="s">
        <v>637</v>
      </c>
      <c r="C27" s="787">
        <v>200000</v>
      </c>
      <c r="D27" s="788">
        <v>220000</v>
      </c>
      <c r="E27" s="710" t="s">
        <v>275</v>
      </c>
    </row>
    <row r="28" spans="1:5" ht="18.75">
      <c r="A28" s="831" t="s">
        <v>358</v>
      </c>
      <c r="B28" s="835"/>
      <c r="C28" s="833">
        <f>SUM(C19:C27)</f>
        <v>855000</v>
      </c>
      <c r="D28" s="833">
        <f>SUM(D19:D27)</f>
        <v>880000</v>
      </c>
      <c r="E28" s="834"/>
    </row>
    <row r="29" spans="1:5" ht="15">
      <c r="A29" s="792"/>
      <c r="B29" s="793"/>
      <c r="C29" s="715"/>
      <c r="D29" s="715"/>
      <c r="E29" s="710"/>
    </row>
    <row r="30" spans="1:5" ht="15.75">
      <c r="A30" s="791" t="s">
        <v>154</v>
      </c>
      <c r="B30" s="711" t="s">
        <v>818</v>
      </c>
      <c r="C30" s="794">
        <v>26000</v>
      </c>
      <c r="D30" s="795">
        <v>26000</v>
      </c>
      <c r="E30" s="796" t="s">
        <v>271</v>
      </c>
    </row>
    <row r="31" spans="1:5" ht="15.75">
      <c r="A31" s="791"/>
      <c r="B31" s="711" t="s">
        <v>638</v>
      </c>
      <c r="C31" s="794">
        <v>25000</v>
      </c>
      <c r="D31" s="795">
        <v>25000</v>
      </c>
      <c r="E31" s="796" t="s">
        <v>272</v>
      </c>
    </row>
    <row r="32" spans="1:5" ht="15.75">
      <c r="A32" s="791"/>
      <c r="B32" s="711" t="s">
        <v>639</v>
      </c>
      <c r="C32" s="794">
        <v>13000</v>
      </c>
      <c r="D32" s="795">
        <v>15000</v>
      </c>
      <c r="E32" s="796" t="s">
        <v>273</v>
      </c>
    </row>
    <row r="33" spans="1:5" ht="15.75">
      <c r="A33" s="791"/>
      <c r="B33" s="797" t="s">
        <v>640</v>
      </c>
      <c r="C33" s="794">
        <v>30000</v>
      </c>
      <c r="D33" s="795">
        <v>30000</v>
      </c>
      <c r="E33" s="796" t="s">
        <v>274</v>
      </c>
    </row>
    <row r="34" spans="1:5" ht="18.75">
      <c r="A34" s="831" t="s">
        <v>358</v>
      </c>
      <c r="B34" s="835"/>
      <c r="C34" s="833">
        <f>SUM(C30:C33)</f>
        <v>94000</v>
      </c>
      <c r="D34" s="833">
        <f>SUM(D30:D33)</f>
        <v>96000</v>
      </c>
      <c r="E34" s="834"/>
    </row>
    <row r="35" spans="1:5" ht="15">
      <c r="A35" s="792"/>
      <c r="B35" s="793"/>
      <c r="C35" s="798"/>
      <c r="D35" s="798"/>
      <c r="E35" s="697"/>
    </row>
    <row r="36" spans="1:5" ht="15.75">
      <c r="A36" s="791" t="s">
        <v>155</v>
      </c>
      <c r="B36" s="714" t="s">
        <v>822</v>
      </c>
      <c r="C36" s="799">
        <v>65000</v>
      </c>
      <c r="D36" s="795">
        <v>62000</v>
      </c>
      <c r="E36" s="710">
        <v>5136</v>
      </c>
    </row>
    <row r="37" spans="1:5" ht="15.75">
      <c r="A37" s="791"/>
      <c r="B37" s="714" t="s">
        <v>641</v>
      </c>
      <c r="C37" s="799">
        <v>8000</v>
      </c>
      <c r="D37" s="795">
        <v>8000</v>
      </c>
      <c r="E37" s="710">
        <v>5137</v>
      </c>
    </row>
    <row r="38" spans="1:5" ht="15.75">
      <c r="A38" s="791"/>
      <c r="B38" s="714" t="s">
        <v>819</v>
      </c>
      <c r="C38" s="799">
        <v>5000</v>
      </c>
      <c r="D38" s="795">
        <v>5000</v>
      </c>
      <c r="E38" s="710">
        <v>5139</v>
      </c>
    </row>
    <row r="39" spans="1:5" ht="15.75">
      <c r="A39" s="791"/>
      <c r="B39" s="800" t="s">
        <v>642</v>
      </c>
      <c r="C39" s="799">
        <v>0</v>
      </c>
      <c r="D39" s="795">
        <v>0</v>
      </c>
      <c r="E39" s="710">
        <v>5162</v>
      </c>
    </row>
    <row r="40" spans="1:5" ht="15.75">
      <c r="A40" s="791"/>
      <c r="B40" s="714" t="s">
        <v>821</v>
      </c>
      <c r="C40" s="799">
        <v>1000</v>
      </c>
      <c r="D40" s="795">
        <v>1000</v>
      </c>
      <c r="E40" s="710">
        <v>5175</v>
      </c>
    </row>
    <row r="41" spans="1:5" ht="15.75">
      <c r="A41" s="791"/>
      <c r="B41" s="714" t="s">
        <v>820</v>
      </c>
      <c r="C41" s="799">
        <v>5000</v>
      </c>
      <c r="D41" s="795">
        <v>5000</v>
      </c>
      <c r="E41" s="710">
        <v>5169</v>
      </c>
    </row>
    <row r="42" spans="1:5" ht="18.75">
      <c r="A42" s="831" t="s">
        <v>358</v>
      </c>
      <c r="B42" s="835"/>
      <c r="C42" s="833">
        <f>SUM(C36:C41)</f>
        <v>84000</v>
      </c>
      <c r="D42" s="833">
        <f>SUM(D36:D41)</f>
        <v>81000</v>
      </c>
      <c r="E42" s="834"/>
    </row>
    <row r="43" spans="1:5" ht="15">
      <c r="A43" s="792"/>
      <c r="B43" s="793"/>
      <c r="C43" s="798"/>
      <c r="D43" s="798"/>
      <c r="E43" s="697"/>
    </row>
    <row r="44" spans="1:5" ht="15.75">
      <c r="A44" s="712" t="s">
        <v>156</v>
      </c>
      <c r="B44" s="711" t="s">
        <v>823</v>
      </c>
      <c r="C44" s="780">
        <v>41000</v>
      </c>
      <c r="D44" s="781">
        <v>41000</v>
      </c>
      <c r="E44" s="710">
        <v>5139</v>
      </c>
    </row>
    <row r="45" spans="1:5" ht="15.75">
      <c r="A45" s="791"/>
      <c r="B45" s="711" t="s">
        <v>824</v>
      </c>
      <c r="C45" s="780">
        <v>400000</v>
      </c>
      <c r="D45" s="781">
        <v>400000</v>
      </c>
      <c r="E45" s="710">
        <v>5169</v>
      </c>
    </row>
    <row r="46" spans="1:5" ht="15.75">
      <c r="A46" s="791"/>
      <c r="B46" s="711" t="s">
        <v>587</v>
      </c>
      <c r="C46" s="780">
        <v>70000</v>
      </c>
      <c r="D46" s="781">
        <v>70000</v>
      </c>
      <c r="E46" s="710">
        <v>5021</v>
      </c>
    </row>
    <row r="47" spans="1:5" ht="15.75">
      <c r="A47" s="791"/>
      <c r="B47" s="709" t="s">
        <v>825</v>
      </c>
      <c r="C47" s="780">
        <v>7000</v>
      </c>
      <c r="D47" s="781">
        <v>7000</v>
      </c>
      <c r="E47" s="710">
        <v>5175</v>
      </c>
    </row>
    <row r="48" spans="1:5" ht="15.75">
      <c r="A48" s="791"/>
      <c r="B48" s="782" t="s">
        <v>771</v>
      </c>
      <c r="C48" s="780">
        <v>11000</v>
      </c>
      <c r="D48" s="781">
        <v>11000</v>
      </c>
      <c r="E48" s="710" t="s">
        <v>826</v>
      </c>
    </row>
    <row r="49" spans="1:5" ht="18.75">
      <c r="A49" s="831" t="s">
        <v>358</v>
      </c>
      <c r="B49" s="835"/>
      <c r="C49" s="833">
        <f>SUM(C44:C48)</f>
        <v>529000</v>
      </c>
      <c r="D49" s="833">
        <f>SUM(D44:D48)</f>
        <v>529000</v>
      </c>
      <c r="E49" s="834"/>
    </row>
    <row r="50" spans="1:5" ht="15">
      <c r="A50" s="792"/>
      <c r="B50" s="793"/>
      <c r="C50" s="798"/>
      <c r="D50" s="798"/>
      <c r="E50" s="697"/>
    </row>
    <row r="51" spans="1:5" ht="15.75">
      <c r="A51" s="712" t="s">
        <v>440</v>
      </c>
      <c r="B51" s="711" t="s">
        <v>410</v>
      </c>
      <c r="C51" s="776">
        <v>35000</v>
      </c>
      <c r="D51" s="777">
        <v>35000</v>
      </c>
      <c r="E51" s="710">
        <v>5132</v>
      </c>
    </row>
    <row r="52" spans="1:5" ht="15.75">
      <c r="A52" s="712"/>
      <c r="B52" s="709" t="s">
        <v>807</v>
      </c>
      <c r="C52" s="776">
        <v>58000</v>
      </c>
      <c r="D52" s="777">
        <v>58000</v>
      </c>
      <c r="E52" s="710">
        <v>5137</v>
      </c>
    </row>
    <row r="53" spans="1:5" ht="15.75">
      <c r="A53" s="712"/>
      <c r="B53" s="711" t="s">
        <v>709</v>
      </c>
      <c r="C53" s="776">
        <v>35000</v>
      </c>
      <c r="D53" s="777">
        <v>35000</v>
      </c>
      <c r="E53" s="710">
        <v>5139</v>
      </c>
    </row>
    <row r="54" spans="1:5" ht="15.75">
      <c r="A54" s="712"/>
      <c r="B54" s="709" t="s">
        <v>809</v>
      </c>
      <c r="C54" s="776">
        <v>50000</v>
      </c>
      <c r="D54" s="777">
        <v>50000</v>
      </c>
      <c r="E54" s="710">
        <v>5156</v>
      </c>
    </row>
    <row r="55" spans="1:5" ht="15.75">
      <c r="A55" s="712"/>
      <c r="B55" s="801" t="s">
        <v>710</v>
      </c>
      <c r="C55" s="776">
        <v>50000</v>
      </c>
      <c r="D55" s="777">
        <v>50000</v>
      </c>
      <c r="E55" s="710">
        <v>5169</v>
      </c>
    </row>
    <row r="56" spans="1:5" ht="15.75">
      <c r="A56" s="712"/>
      <c r="B56" s="790" t="s">
        <v>711</v>
      </c>
      <c r="C56" s="776">
        <v>30000</v>
      </c>
      <c r="D56" s="777">
        <v>30000</v>
      </c>
      <c r="E56" s="710">
        <v>5171</v>
      </c>
    </row>
    <row r="57" spans="1:5" ht="15.75">
      <c r="A57" s="712"/>
      <c r="B57" s="709" t="s">
        <v>808</v>
      </c>
      <c r="C57" s="776">
        <v>10000</v>
      </c>
      <c r="D57" s="777">
        <v>10000</v>
      </c>
      <c r="E57" s="710">
        <v>5162</v>
      </c>
    </row>
    <row r="58" spans="1:5" ht="15.75">
      <c r="A58" s="712"/>
      <c r="B58" s="802" t="s">
        <v>810</v>
      </c>
      <c r="C58" s="776">
        <v>10000</v>
      </c>
      <c r="D58" s="777">
        <v>10000</v>
      </c>
      <c r="E58" s="710">
        <v>5167</v>
      </c>
    </row>
    <row r="59" spans="1:5" ht="15.75">
      <c r="A59" s="712"/>
      <c r="B59" s="711" t="s">
        <v>411</v>
      </c>
      <c r="C59" s="776">
        <v>7000</v>
      </c>
      <c r="D59" s="777">
        <v>7000</v>
      </c>
      <c r="E59" s="710">
        <v>5175</v>
      </c>
    </row>
    <row r="60" spans="1:5" ht="15.75">
      <c r="A60" s="791"/>
      <c r="B60" s="709" t="s">
        <v>712</v>
      </c>
      <c r="C60" s="776">
        <v>60000</v>
      </c>
      <c r="D60" s="777">
        <v>60000</v>
      </c>
      <c r="E60" s="710">
        <v>5229</v>
      </c>
    </row>
    <row r="61" spans="1:5" ht="18.75">
      <c r="A61" s="831" t="s">
        <v>358</v>
      </c>
      <c r="B61" s="835"/>
      <c r="C61" s="833">
        <f>SUM(C51:C60)</f>
        <v>345000</v>
      </c>
      <c r="D61" s="833">
        <f>SUM(D51:D60)</f>
        <v>345000</v>
      </c>
      <c r="E61" s="834"/>
    </row>
    <row r="62" spans="1:5" ht="15">
      <c r="A62" s="792"/>
      <c r="B62" s="793"/>
      <c r="C62" s="798"/>
      <c r="D62" s="798"/>
      <c r="E62" s="697"/>
    </row>
    <row r="63" spans="1:5" ht="15.75">
      <c r="A63" s="712" t="s">
        <v>441</v>
      </c>
      <c r="B63" s="779" t="s">
        <v>643</v>
      </c>
      <c r="C63" s="776">
        <v>270000</v>
      </c>
      <c r="D63" s="777">
        <v>250000</v>
      </c>
      <c r="E63" s="796" t="s">
        <v>618</v>
      </c>
    </row>
    <row r="64" spans="1:5" ht="15.75">
      <c r="A64" s="712"/>
      <c r="B64" s="779" t="s">
        <v>649</v>
      </c>
      <c r="C64" s="776">
        <v>5000</v>
      </c>
      <c r="D64" s="777">
        <v>5000</v>
      </c>
      <c r="E64" s="796" t="s">
        <v>650</v>
      </c>
    </row>
    <row r="65" spans="1:5" ht="15.75">
      <c r="A65" s="712"/>
      <c r="B65" s="779" t="s">
        <v>651</v>
      </c>
      <c r="C65" s="776">
        <v>5000</v>
      </c>
      <c r="D65" s="777">
        <v>5000</v>
      </c>
      <c r="E65" s="796" t="s">
        <v>271</v>
      </c>
    </row>
    <row r="66" spans="1:5" ht="15.75">
      <c r="A66" s="712"/>
      <c r="B66" s="711" t="s">
        <v>652</v>
      </c>
      <c r="C66" s="776">
        <v>25000</v>
      </c>
      <c r="D66" s="777">
        <v>25000</v>
      </c>
      <c r="E66" s="710">
        <v>5136</v>
      </c>
    </row>
    <row r="67" spans="1:5" ht="15.75">
      <c r="A67" s="712"/>
      <c r="B67" s="711" t="s">
        <v>653</v>
      </c>
      <c r="C67" s="776">
        <v>150000</v>
      </c>
      <c r="D67" s="777">
        <v>150000</v>
      </c>
      <c r="E67" s="710">
        <v>5139</v>
      </c>
    </row>
    <row r="68" spans="1:5" ht="15.75">
      <c r="A68" s="712"/>
      <c r="B68" s="711" t="s">
        <v>654</v>
      </c>
      <c r="C68" s="776">
        <v>40000</v>
      </c>
      <c r="D68" s="777">
        <v>40000</v>
      </c>
      <c r="E68" s="710">
        <v>5156</v>
      </c>
    </row>
    <row r="69" spans="1:5" ht="15.75">
      <c r="A69" s="712"/>
      <c r="B69" s="803" t="s">
        <v>655</v>
      </c>
      <c r="C69" s="776">
        <v>130000</v>
      </c>
      <c r="D69" s="777">
        <v>100000</v>
      </c>
      <c r="E69" s="710">
        <v>5161</v>
      </c>
    </row>
    <row r="70" spans="1:5" ht="15.75">
      <c r="A70" s="712"/>
      <c r="B70" s="804" t="s">
        <v>622</v>
      </c>
      <c r="C70" s="776">
        <v>140000</v>
      </c>
      <c r="D70" s="777">
        <v>100000</v>
      </c>
      <c r="E70" s="710">
        <v>5162</v>
      </c>
    </row>
    <row r="71" spans="1:5" ht="15.75">
      <c r="A71" s="791"/>
      <c r="B71" s="804" t="s">
        <v>656</v>
      </c>
      <c r="C71" s="776">
        <v>100000</v>
      </c>
      <c r="D71" s="777">
        <v>90000</v>
      </c>
      <c r="E71" s="710">
        <v>5163</v>
      </c>
    </row>
    <row r="72" spans="1:5" ht="15.75">
      <c r="A72" s="791"/>
      <c r="B72" s="804" t="s">
        <v>657</v>
      </c>
      <c r="C72" s="776">
        <v>320000</v>
      </c>
      <c r="D72" s="777">
        <v>310000</v>
      </c>
      <c r="E72" s="710">
        <v>5166</v>
      </c>
    </row>
    <row r="73" spans="1:5" ht="15.75">
      <c r="A73" s="791"/>
      <c r="B73" s="804" t="s">
        <v>658</v>
      </c>
      <c r="C73" s="776">
        <v>70000</v>
      </c>
      <c r="D73" s="777">
        <v>70000</v>
      </c>
      <c r="E73" s="710">
        <v>5167</v>
      </c>
    </row>
    <row r="74" spans="1:5" ht="15.75">
      <c r="A74" s="791"/>
      <c r="B74" s="804" t="s">
        <v>630</v>
      </c>
      <c r="C74" s="776">
        <v>290000</v>
      </c>
      <c r="D74" s="777">
        <v>210000</v>
      </c>
      <c r="E74" s="710">
        <v>5168</v>
      </c>
    </row>
    <row r="75" spans="1:5" ht="15.75">
      <c r="A75" s="791"/>
      <c r="B75" s="805" t="s">
        <v>659</v>
      </c>
      <c r="C75" s="776">
        <v>630000</v>
      </c>
      <c r="D75" s="777">
        <v>580000</v>
      </c>
      <c r="E75" s="710">
        <v>5169</v>
      </c>
    </row>
    <row r="76" spans="1:5" ht="15.75">
      <c r="A76" s="791"/>
      <c r="B76" s="711" t="s">
        <v>660</v>
      </c>
      <c r="C76" s="776">
        <v>40000</v>
      </c>
      <c r="D76" s="777">
        <v>45000</v>
      </c>
      <c r="E76" s="710">
        <v>5173</v>
      </c>
    </row>
    <row r="77" spans="1:5" ht="15.75">
      <c r="A77" s="791"/>
      <c r="B77" s="779" t="s">
        <v>661</v>
      </c>
      <c r="C77" s="776">
        <v>50000</v>
      </c>
      <c r="D77" s="777">
        <v>60000</v>
      </c>
      <c r="E77" s="710">
        <v>5175</v>
      </c>
    </row>
    <row r="78" spans="1:5" ht="15.75">
      <c r="A78" s="791"/>
      <c r="B78" s="711" t="s">
        <v>842</v>
      </c>
      <c r="C78" s="776">
        <v>40000</v>
      </c>
      <c r="D78" s="777">
        <v>50000</v>
      </c>
      <c r="E78" s="710">
        <v>5172</v>
      </c>
    </row>
    <row r="79" spans="1:5" ht="15.75">
      <c r="A79" s="791"/>
      <c r="B79" s="782" t="s">
        <v>843</v>
      </c>
      <c r="C79" s="776">
        <v>30000</v>
      </c>
      <c r="D79" s="777">
        <v>30000</v>
      </c>
      <c r="E79" s="710">
        <v>5361</v>
      </c>
    </row>
    <row r="80" spans="1:5" ht="18.75">
      <c r="A80" s="831" t="s">
        <v>358</v>
      </c>
      <c r="B80" s="835"/>
      <c r="C80" s="833">
        <f>SUM(C63:C79)</f>
        <v>2335000</v>
      </c>
      <c r="D80" s="833">
        <f>SUM(D63:D79)</f>
        <v>2120000</v>
      </c>
      <c r="E80" s="834"/>
    </row>
    <row r="81" spans="1:5" ht="15">
      <c r="A81" s="792"/>
      <c r="B81" s="793"/>
      <c r="C81" s="806"/>
      <c r="D81" s="798"/>
      <c r="E81" s="697"/>
    </row>
    <row r="82" spans="1:6" ht="15.75">
      <c r="A82" s="712" t="s">
        <v>283</v>
      </c>
      <c r="B82" s="711" t="s">
        <v>588</v>
      </c>
      <c r="C82" s="780">
        <v>600000</v>
      </c>
      <c r="D82" s="781">
        <v>600000</v>
      </c>
      <c r="E82" s="710">
        <v>5163</v>
      </c>
      <c r="F82" s="270"/>
    </row>
    <row r="83" spans="1:5" ht="15.75">
      <c r="A83" s="791" t="s">
        <v>284</v>
      </c>
      <c r="B83" s="711" t="s">
        <v>306</v>
      </c>
      <c r="C83" s="780">
        <v>20000</v>
      </c>
      <c r="D83" s="781">
        <v>20000</v>
      </c>
      <c r="E83" s="710">
        <v>5169</v>
      </c>
    </row>
    <row r="84" spans="1:5" ht="15.75">
      <c r="A84" s="791"/>
      <c r="B84" s="803" t="s">
        <v>662</v>
      </c>
      <c r="C84" s="780">
        <v>100000</v>
      </c>
      <c r="D84" s="781">
        <v>160000</v>
      </c>
      <c r="E84" s="710">
        <v>5494</v>
      </c>
    </row>
    <row r="85" spans="1:5" ht="18.75">
      <c r="A85" s="831" t="s">
        <v>358</v>
      </c>
      <c r="B85" s="835"/>
      <c r="C85" s="833">
        <f>SUM(C82:C84)</f>
        <v>720000</v>
      </c>
      <c r="D85" s="833">
        <f>SUM(D82:D84)</f>
        <v>780000</v>
      </c>
      <c r="E85" s="834"/>
    </row>
    <row r="86" spans="1:5" ht="15">
      <c r="A86" s="792"/>
      <c r="B86" s="793"/>
      <c r="C86" s="798"/>
      <c r="D86" s="798"/>
      <c r="E86" s="697"/>
    </row>
    <row r="87" spans="1:5" ht="15.75">
      <c r="A87" s="712" t="s">
        <v>292</v>
      </c>
      <c r="B87" s="711" t="s">
        <v>785</v>
      </c>
      <c r="C87" s="807">
        <v>40000</v>
      </c>
      <c r="D87" s="808">
        <v>60000</v>
      </c>
      <c r="E87" s="710">
        <v>5139</v>
      </c>
    </row>
    <row r="88" spans="1:5" ht="15.75">
      <c r="A88" s="712"/>
      <c r="B88" s="711" t="s">
        <v>791</v>
      </c>
      <c r="C88" s="807">
        <v>40000</v>
      </c>
      <c r="D88" s="808">
        <v>40000</v>
      </c>
      <c r="E88" s="710">
        <v>5136</v>
      </c>
    </row>
    <row r="89" spans="1:5" ht="15.75">
      <c r="A89" s="712"/>
      <c r="B89" s="782" t="s">
        <v>783</v>
      </c>
      <c r="C89" s="807">
        <v>150000</v>
      </c>
      <c r="D89" s="808">
        <v>150000</v>
      </c>
      <c r="E89" s="710">
        <v>5169</v>
      </c>
    </row>
    <row r="90" spans="1:5" ht="15.75">
      <c r="A90" s="712"/>
      <c r="B90" s="711" t="s">
        <v>784</v>
      </c>
      <c r="C90" s="807">
        <v>823000</v>
      </c>
      <c r="D90" s="808">
        <v>823000</v>
      </c>
      <c r="E90" s="710">
        <v>5229</v>
      </c>
    </row>
    <row r="91" spans="1:5" ht="15.75">
      <c r="A91" s="791"/>
      <c r="B91" s="809" t="s">
        <v>703</v>
      </c>
      <c r="C91" s="807">
        <v>42000</v>
      </c>
      <c r="D91" s="808">
        <v>42000</v>
      </c>
      <c r="E91" s="710">
        <v>5511</v>
      </c>
    </row>
    <row r="92" spans="1:5" ht="18.75">
      <c r="A92" s="831" t="s">
        <v>358</v>
      </c>
      <c r="B92" s="836"/>
      <c r="C92" s="833">
        <f>SUM(C87:C91)</f>
        <v>1095000</v>
      </c>
      <c r="D92" s="833">
        <f>SUM(D87:D91)</f>
        <v>1115000</v>
      </c>
      <c r="E92" s="834"/>
    </row>
    <row r="93" spans="1:5" ht="12.75">
      <c r="A93" s="792"/>
      <c r="B93" s="811"/>
      <c r="C93" s="798"/>
      <c r="D93" s="798"/>
      <c r="E93" s="697"/>
    </row>
    <row r="94" spans="1:5" ht="15.75">
      <c r="A94" s="712" t="s">
        <v>455</v>
      </c>
      <c r="B94" s="711" t="s">
        <v>296</v>
      </c>
      <c r="C94" s="787">
        <v>25000</v>
      </c>
      <c r="D94" s="788">
        <v>25000</v>
      </c>
      <c r="E94" s="710">
        <v>5139</v>
      </c>
    </row>
    <row r="95" spans="1:5" ht="15.75">
      <c r="A95" s="712"/>
      <c r="B95" s="790" t="s">
        <v>663</v>
      </c>
      <c r="C95" s="787">
        <v>1480000</v>
      </c>
      <c r="D95" s="788">
        <v>1480000</v>
      </c>
      <c r="E95" s="710" t="s">
        <v>275</v>
      </c>
    </row>
    <row r="96" spans="1:5" ht="15.75">
      <c r="A96" s="791"/>
      <c r="B96" s="711" t="s">
        <v>664</v>
      </c>
      <c r="C96" s="787">
        <v>50000</v>
      </c>
      <c r="D96" s="788">
        <v>50000</v>
      </c>
      <c r="E96" s="710">
        <v>5169</v>
      </c>
    </row>
    <row r="97" spans="1:5" ht="18.75">
      <c r="A97" s="831" t="s">
        <v>358</v>
      </c>
      <c r="B97" s="836"/>
      <c r="C97" s="833">
        <f>SUM(C94:C96)</f>
        <v>1555000</v>
      </c>
      <c r="D97" s="833">
        <f>SUM(D94:D96)</f>
        <v>1555000</v>
      </c>
      <c r="E97" s="834"/>
    </row>
    <row r="98" spans="1:5" ht="12.75">
      <c r="A98" s="792"/>
      <c r="B98" s="811"/>
      <c r="C98" s="798"/>
      <c r="D98" s="798"/>
      <c r="E98" s="697"/>
    </row>
    <row r="99" spans="1:5" ht="15.75">
      <c r="A99" s="712" t="s">
        <v>456</v>
      </c>
      <c r="B99" s="711" t="s">
        <v>789</v>
      </c>
      <c r="C99" s="787">
        <v>10000</v>
      </c>
      <c r="D99" s="788">
        <v>10000</v>
      </c>
      <c r="E99" s="710">
        <v>5139</v>
      </c>
    </row>
    <row r="100" spans="1:5" ht="15.75">
      <c r="A100" s="791"/>
      <c r="B100" s="711" t="s">
        <v>790</v>
      </c>
      <c r="C100" s="787">
        <v>20000</v>
      </c>
      <c r="D100" s="788">
        <v>20000</v>
      </c>
      <c r="E100" s="710">
        <v>5169</v>
      </c>
    </row>
    <row r="101" spans="1:5" ht="15.75">
      <c r="A101" s="791"/>
      <c r="B101" s="714" t="s">
        <v>665</v>
      </c>
      <c r="C101" s="787">
        <v>650000</v>
      </c>
      <c r="D101" s="788">
        <v>650000</v>
      </c>
      <c r="E101" s="710" t="s">
        <v>275</v>
      </c>
    </row>
    <row r="102" spans="1:5" ht="18.75">
      <c r="A102" s="831" t="s">
        <v>358</v>
      </c>
      <c r="B102" s="836"/>
      <c r="C102" s="833">
        <f>SUM(C99:C101)</f>
        <v>680000</v>
      </c>
      <c r="D102" s="833">
        <f>SUM(D99:D101)</f>
        <v>680000</v>
      </c>
      <c r="E102" s="834"/>
    </row>
    <row r="103" spans="1:5" ht="12.75">
      <c r="A103" s="792"/>
      <c r="B103" s="811"/>
      <c r="C103" s="798"/>
      <c r="D103" s="798"/>
      <c r="E103" s="697"/>
    </row>
    <row r="104" spans="1:5" ht="15">
      <c r="A104" s="812" t="s">
        <v>457</v>
      </c>
      <c r="B104" s="711" t="s">
        <v>789</v>
      </c>
      <c r="C104" s="787">
        <v>10000</v>
      </c>
      <c r="D104" s="788">
        <v>10000</v>
      </c>
      <c r="E104" s="710">
        <v>5139</v>
      </c>
    </row>
    <row r="105" spans="1:5" ht="15.75">
      <c r="A105" s="791"/>
      <c r="B105" s="711" t="s">
        <v>666</v>
      </c>
      <c r="C105" s="787">
        <v>10000</v>
      </c>
      <c r="D105" s="788">
        <v>10000</v>
      </c>
      <c r="E105" s="710">
        <v>5169</v>
      </c>
    </row>
    <row r="106" spans="1:5" ht="15.75">
      <c r="A106" s="791"/>
      <c r="B106" s="714" t="s">
        <v>667</v>
      </c>
      <c r="C106" s="787">
        <v>60000</v>
      </c>
      <c r="D106" s="788">
        <v>60000</v>
      </c>
      <c r="E106" s="710">
        <v>5171</v>
      </c>
    </row>
    <row r="107" spans="1:5" ht="18.75">
      <c r="A107" s="831" t="s">
        <v>358</v>
      </c>
      <c r="B107" s="836"/>
      <c r="C107" s="833">
        <f>SUM(C104:C106)</f>
        <v>80000</v>
      </c>
      <c r="D107" s="833">
        <f>SUM(D104:D106)</f>
        <v>80000</v>
      </c>
      <c r="E107" s="834"/>
    </row>
    <row r="108" spans="1:5" ht="12.75">
      <c r="A108" s="792"/>
      <c r="B108" s="811"/>
      <c r="C108" s="798"/>
      <c r="D108" s="798"/>
      <c r="E108" s="697"/>
    </row>
    <row r="109" spans="1:5" ht="15.75">
      <c r="A109" s="712" t="s">
        <v>458</v>
      </c>
      <c r="B109" s="813" t="s">
        <v>668</v>
      </c>
      <c r="C109" s="787">
        <v>100000</v>
      </c>
      <c r="D109" s="788">
        <v>100000</v>
      </c>
      <c r="E109" s="710" t="s">
        <v>275</v>
      </c>
    </row>
    <row r="110" spans="1:5" ht="15.75">
      <c r="A110" s="712"/>
      <c r="B110" s="711" t="s">
        <v>777</v>
      </c>
      <c r="C110" s="787">
        <v>5000</v>
      </c>
      <c r="D110" s="788">
        <v>5000</v>
      </c>
      <c r="E110" s="710">
        <v>5139</v>
      </c>
    </row>
    <row r="111" spans="1:5" ht="15.75">
      <c r="A111" s="712"/>
      <c r="B111" s="711" t="s">
        <v>669</v>
      </c>
      <c r="C111" s="787">
        <v>100000</v>
      </c>
      <c r="D111" s="788">
        <v>100000</v>
      </c>
      <c r="E111" s="710">
        <v>5169</v>
      </c>
    </row>
    <row r="112" spans="1:5" ht="15.75">
      <c r="A112" s="712"/>
      <c r="B112" s="711" t="s">
        <v>282</v>
      </c>
      <c r="C112" s="787">
        <v>15000</v>
      </c>
      <c r="D112" s="788">
        <v>15000</v>
      </c>
      <c r="E112" s="710">
        <v>5172</v>
      </c>
    </row>
    <row r="113" spans="1:5" ht="18.75">
      <c r="A113" s="831" t="s">
        <v>358</v>
      </c>
      <c r="B113" s="836"/>
      <c r="C113" s="833">
        <f>SUM(C109:C112)</f>
        <v>220000</v>
      </c>
      <c r="D113" s="833">
        <f>SUM(D109:D112)</f>
        <v>220000</v>
      </c>
      <c r="E113" s="834"/>
    </row>
    <row r="114" spans="1:5" ht="12.75">
      <c r="A114" s="792"/>
      <c r="B114" s="811"/>
      <c r="C114" s="798"/>
      <c r="D114" s="798"/>
      <c r="E114" s="697"/>
    </row>
    <row r="115" spans="1:5" ht="15">
      <c r="A115" s="812" t="s">
        <v>459</v>
      </c>
      <c r="B115" s="711" t="s">
        <v>776</v>
      </c>
      <c r="C115" s="787">
        <v>50000</v>
      </c>
      <c r="D115" s="788">
        <v>50000</v>
      </c>
      <c r="E115" s="710">
        <v>5166</v>
      </c>
    </row>
    <row r="116" spans="1:5" ht="15">
      <c r="A116" s="814"/>
      <c r="B116" s="711" t="s">
        <v>670</v>
      </c>
      <c r="C116" s="787">
        <v>100000</v>
      </c>
      <c r="D116" s="788">
        <v>100000</v>
      </c>
      <c r="E116" s="710">
        <v>5169</v>
      </c>
    </row>
    <row r="117" spans="1:5" ht="15.75">
      <c r="A117" s="791"/>
      <c r="B117" s="782" t="s">
        <v>671</v>
      </c>
      <c r="C117" s="787">
        <v>50000</v>
      </c>
      <c r="D117" s="788">
        <v>50000</v>
      </c>
      <c r="E117" s="710">
        <v>5362</v>
      </c>
    </row>
    <row r="118" spans="1:5" ht="15.75">
      <c r="A118" s="791"/>
      <c r="B118" s="815" t="s">
        <v>672</v>
      </c>
      <c r="C118" s="787"/>
      <c r="D118" s="788"/>
      <c r="E118" s="816"/>
    </row>
    <row r="119" spans="1:5" ht="15.75">
      <c r="A119" s="817"/>
      <c r="B119" s="818" t="s">
        <v>766</v>
      </c>
      <c r="C119" s="819">
        <v>1900000</v>
      </c>
      <c r="D119" s="820">
        <v>1900000</v>
      </c>
      <c r="E119" s="821">
        <v>5909</v>
      </c>
    </row>
    <row r="120" spans="1:5" ht="18.75">
      <c r="A120" s="831" t="s">
        <v>358</v>
      </c>
      <c r="B120" s="836"/>
      <c r="C120" s="833">
        <f>SUM(C115:C119)</f>
        <v>2100000</v>
      </c>
      <c r="D120" s="833">
        <f>SUM(D115:D119)</f>
        <v>2100000</v>
      </c>
      <c r="E120" s="834"/>
    </row>
    <row r="121" spans="1:5" ht="12.75">
      <c r="A121" s="792"/>
      <c r="B121" s="811"/>
      <c r="C121" s="798"/>
      <c r="D121" s="798"/>
      <c r="E121" s="697"/>
    </row>
    <row r="122" spans="1:5" ht="15.75">
      <c r="A122" s="712" t="s">
        <v>460</v>
      </c>
      <c r="B122" s="779" t="s">
        <v>281</v>
      </c>
      <c r="C122" s="787">
        <v>3000</v>
      </c>
      <c r="D122" s="788">
        <v>3000</v>
      </c>
      <c r="E122" s="710">
        <v>5161</v>
      </c>
    </row>
    <row r="123" spans="1:5" ht="15.75">
      <c r="A123" s="712"/>
      <c r="B123" s="711" t="s">
        <v>778</v>
      </c>
      <c r="C123" s="787">
        <v>55000</v>
      </c>
      <c r="D123" s="788">
        <v>55000</v>
      </c>
      <c r="E123" s="710">
        <v>5139</v>
      </c>
    </row>
    <row r="124" spans="1:5" ht="15.75">
      <c r="A124" s="712"/>
      <c r="B124" s="711" t="s">
        <v>779</v>
      </c>
      <c r="C124" s="787">
        <v>10000</v>
      </c>
      <c r="D124" s="788">
        <v>10000</v>
      </c>
      <c r="E124" s="710">
        <v>5162</v>
      </c>
    </row>
    <row r="125" spans="1:5" ht="15.75">
      <c r="A125" s="712"/>
      <c r="B125" s="802" t="s">
        <v>780</v>
      </c>
      <c r="C125" s="787">
        <v>55000</v>
      </c>
      <c r="D125" s="788">
        <v>55000</v>
      </c>
      <c r="E125" s="710">
        <v>5169</v>
      </c>
    </row>
    <row r="126" spans="1:5" ht="15.75">
      <c r="A126" s="791"/>
      <c r="B126" s="822" t="s">
        <v>673</v>
      </c>
      <c r="C126" s="787">
        <v>2000</v>
      </c>
      <c r="D126" s="788">
        <v>2000</v>
      </c>
      <c r="E126" s="710">
        <v>5175</v>
      </c>
    </row>
    <row r="127" spans="1:5" ht="15.75">
      <c r="A127" s="791"/>
      <c r="B127" s="714" t="s">
        <v>781</v>
      </c>
      <c r="C127" s="787">
        <v>4000</v>
      </c>
      <c r="D127" s="788">
        <v>4000</v>
      </c>
      <c r="E127" s="710">
        <v>5172</v>
      </c>
    </row>
    <row r="128" spans="1:5" ht="15.75">
      <c r="A128" s="791"/>
      <c r="B128" s="822" t="s">
        <v>782</v>
      </c>
      <c r="C128" s="787">
        <v>10000</v>
      </c>
      <c r="D128" s="788">
        <v>10000</v>
      </c>
      <c r="E128" s="710">
        <v>5173</v>
      </c>
    </row>
    <row r="129" spans="1:5" ht="15.75">
      <c r="A129" s="791"/>
      <c r="B129" s="887" t="s">
        <v>1191</v>
      </c>
      <c r="C129" s="787">
        <v>60000</v>
      </c>
      <c r="D129" s="788">
        <v>60000</v>
      </c>
      <c r="E129" s="710">
        <v>5171</v>
      </c>
    </row>
    <row r="130" spans="1:5" ht="15.75">
      <c r="A130" s="791"/>
      <c r="B130" s="823" t="s">
        <v>674</v>
      </c>
      <c r="C130" s="787">
        <v>10000</v>
      </c>
      <c r="D130" s="788">
        <v>10000</v>
      </c>
      <c r="E130" s="710">
        <v>5137</v>
      </c>
    </row>
    <row r="131" spans="1:5" ht="18.75">
      <c r="A131" s="831" t="s">
        <v>358</v>
      </c>
      <c r="B131" s="836"/>
      <c r="C131" s="833">
        <f>SUM(C122:C130)</f>
        <v>209000</v>
      </c>
      <c r="D131" s="833">
        <f>SUM(D122:D130)</f>
        <v>209000</v>
      </c>
      <c r="E131" s="834"/>
    </row>
    <row r="132" spans="1:5" ht="12.75">
      <c r="A132" s="792"/>
      <c r="B132" s="811"/>
      <c r="C132" s="798"/>
      <c r="D132" s="798"/>
      <c r="E132" s="697"/>
    </row>
    <row r="133" spans="1:5" ht="15.75">
      <c r="A133" s="712" t="s">
        <v>278</v>
      </c>
      <c r="B133" s="711" t="s">
        <v>304</v>
      </c>
      <c r="C133" s="787">
        <v>20000</v>
      </c>
      <c r="D133" s="788">
        <v>20000</v>
      </c>
      <c r="E133" s="710">
        <v>5139</v>
      </c>
    </row>
    <row r="134" spans="1:5" ht="15.75">
      <c r="A134" s="712"/>
      <c r="B134" s="711" t="s">
        <v>675</v>
      </c>
      <c r="C134" s="787">
        <v>3000</v>
      </c>
      <c r="D134" s="788">
        <v>3000</v>
      </c>
      <c r="E134" s="710">
        <v>5132</v>
      </c>
    </row>
    <row r="135" spans="1:5" ht="15.75">
      <c r="A135" s="712"/>
      <c r="B135" s="779" t="s">
        <v>676</v>
      </c>
      <c r="C135" s="787">
        <v>4000</v>
      </c>
      <c r="D135" s="788">
        <v>4000</v>
      </c>
      <c r="E135" s="710">
        <v>5161</v>
      </c>
    </row>
    <row r="136" spans="1:5" ht="15.75">
      <c r="A136" s="712"/>
      <c r="B136" s="711" t="s">
        <v>677</v>
      </c>
      <c r="C136" s="787">
        <v>7000</v>
      </c>
      <c r="D136" s="788">
        <v>7000</v>
      </c>
      <c r="E136" s="710">
        <v>5162</v>
      </c>
    </row>
    <row r="137" spans="1:5" ht="15.75">
      <c r="A137" s="712"/>
      <c r="B137" s="711" t="s">
        <v>792</v>
      </c>
      <c r="C137" s="787">
        <v>6000</v>
      </c>
      <c r="D137" s="788">
        <v>6000</v>
      </c>
      <c r="E137" s="710">
        <v>5163</v>
      </c>
    </row>
    <row r="138" spans="1:5" ht="15.75">
      <c r="A138" s="712"/>
      <c r="B138" s="711" t="s">
        <v>678</v>
      </c>
      <c r="C138" s="787">
        <v>10000</v>
      </c>
      <c r="D138" s="788">
        <v>10000</v>
      </c>
      <c r="E138" s="710">
        <v>5168</v>
      </c>
    </row>
    <row r="139" spans="1:5" ht="15.75">
      <c r="A139" s="712"/>
      <c r="B139" s="779" t="s">
        <v>679</v>
      </c>
      <c r="C139" s="787">
        <v>2000</v>
      </c>
      <c r="D139" s="788">
        <v>2000</v>
      </c>
      <c r="E139" s="710">
        <v>5167</v>
      </c>
    </row>
    <row r="140" spans="1:5" ht="15.75">
      <c r="A140" s="712"/>
      <c r="B140" s="711" t="s">
        <v>793</v>
      </c>
      <c r="C140" s="787">
        <v>220000</v>
      </c>
      <c r="D140" s="788">
        <v>220000</v>
      </c>
      <c r="E140" s="710">
        <v>5169</v>
      </c>
    </row>
    <row r="141" spans="1:5" ht="15.75">
      <c r="A141" s="791"/>
      <c r="B141" s="711" t="s">
        <v>680</v>
      </c>
      <c r="C141" s="787">
        <v>100000</v>
      </c>
      <c r="D141" s="788">
        <v>150000</v>
      </c>
      <c r="E141" s="710">
        <v>5171</v>
      </c>
    </row>
    <row r="142" spans="1:5" ht="15.75">
      <c r="A142" s="791"/>
      <c r="B142" s="779" t="s">
        <v>681</v>
      </c>
      <c r="C142" s="787">
        <v>2680000</v>
      </c>
      <c r="D142" s="788">
        <v>1100000</v>
      </c>
      <c r="E142" s="710" t="s">
        <v>275</v>
      </c>
    </row>
    <row r="143" spans="1:5" ht="18.75">
      <c r="A143" s="831" t="s">
        <v>358</v>
      </c>
      <c r="B143" s="836"/>
      <c r="C143" s="833">
        <f>SUM(C133:C142)</f>
        <v>3052000</v>
      </c>
      <c r="D143" s="833">
        <f>SUM(D133:D142)</f>
        <v>1522000</v>
      </c>
      <c r="E143" s="834"/>
    </row>
    <row r="144" spans="1:6" ht="18.75">
      <c r="A144" s="694"/>
      <c r="B144" s="695"/>
      <c r="C144" s="696"/>
      <c r="D144" s="696"/>
      <c r="E144" s="697"/>
      <c r="F144" s="163"/>
    </row>
    <row r="145" spans="1:5" ht="15.75">
      <c r="A145" s="712" t="s">
        <v>461</v>
      </c>
      <c r="B145" s="711" t="s">
        <v>682</v>
      </c>
      <c r="C145" s="787">
        <v>35000</v>
      </c>
      <c r="D145" s="788">
        <v>35000</v>
      </c>
      <c r="E145" s="710">
        <v>5139</v>
      </c>
    </row>
    <row r="146" spans="1:5" ht="15.75">
      <c r="A146" s="791"/>
      <c r="B146" s="711" t="s">
        <v>303</v>
      </c>
      <c r="C146" s="787">
        <v>25000</v>
      </c>
      <c r="D146" s="788">
        <v>25000</v>
      </c>
      <c r="E146" s="710">
        <v>5169</v>
      </c>
    </row>
    <row r="147" spans="1:5" ht="15.75">
      <c r="A147" s="791"/>
      <c r="B147" s="714" t="s">
        <v>683</v>
      </c>
      <c r="C147" s="787">
        <v>100000</v>
      </c>
      <c r="D147" s="788">
        <v>100000</v>
      </c>
      <c r="E147" s="710">
        <v>5171</v>
      </c>
    </row>
    <row r="148" spans="1:5" ht="18.75">
      <c r="A148" s="831" t="s">
        <v>358</v>
      </c>
      <c r="B148" s="836"/>
      <c r="C148" s="833">
        <f>SUM(C145:C147)</f>
        <v>160000</v>
      </c>
      <c r="D148" s="833">
        <f>SUM(D145:D147)</f>
        <v>160000</v>
      </c>
      <c r="E148" s="834"/>
    </row>
    <row r="149" spans="1:5" ht="18.75">
      <c r="A149" s="824"/>
      <c r="B149" s="810"/>
      <c r="C149" s="784"/>
      <c r="D149" s="784"/>
      <c r="E149" s="697"/>
    </row>
    <row r="150" spans="1:5" ht="15.75">
      <c r="A150" s="712" t="s">
        <v>462</v>
      </c>
      <c r="B150" s="711" t="s">
        <v>682</v>
      </c>
      <c r="C150" s="787">
        <v>35000</v>
      </c>
      <c r="D150" s="788">
        <v>35000</v>
      </c>
      <c r="E150" s="710">
        <v>5139</v>
      </c>
    </row>
    <row r="151" spans="1:5" ht="15.75">
      <c r="A151" s="791"/>
      <c r="B151" s="711" t="s">
        <v>684</v>
      </c>
      <c r="C151" s="787">
        <v>25000</v>
      </c>
      <c r="D151" s="788">
        <v>25000</v>
      </c>
      <c r="E151" s="710">
        <v>5169</v>
      </c>
    </row>
    <row r="152" spans="1:5" ht="15.75">
      <c r="A152" s="791"/>
      <c r="B152" s="714" t="s">
        <v>685</v>
      </c>
      <c r="C152" s="787">
        <v>320000</v>
      </c>
      <c r="D152" s="788">
        <v>320000</v>
      </c>
      <c r="E152" s="710">
        <v>5171</v>
      </c>
    </row>
    <row r="153" spans="1:5" ht="18.75">
      <c r="A153" s="831" t="s">
        <v>358</v>
      </c>
      <c r="B153" s="836"/>
      <c r="C153" s="833">
        <f>SUM(C150:C152)</f>
        <v>380000</v>
      </c>
      <c r="D153" s="833">
        <f>SUM(D150:D152)</f>
        <v>380000</v>
      </c>
      <c r="E153" s="834"/>
    </row>
    <row r="154" spans="1:5" ht="18.75">
      <c r="A154" s="824"/>
      <c r="B154" s="810"/>
      <c r="C154" s="784"/>
      <c r="D154" s="784"/>
      <c r="E154" s="697"/>
    </row>
    <row r="155" spans="1:5" ht="15.75">
      <c r="A155" s="824" t="s">
        <v>463</v>
      </c>
      <c r="B155" s="711" t="s">
        <v>715</v>
      </c>
      <c r="C155" s="825">
        <v>40000</v>
      </c>
      <c r="D155" s="781">
        <v>40000</v>
      </c>
      <c r="E155" s="710">
        <v>5132</v>
      </c>
    </row>
    <row r="156" spans="1:5" ht="15.75">
      <c r="A156" s="824"/>
      <c r="B156" s="709" t="s">
        <v>716</v>
      </c>
      <c r="C156" s="825">
        <v>20000</v>
      </c>
      <c r="D156" s="781">
        <v>35000</v>
      </c>
      <c r="E156" s="710">
        <v>5137</v>
      </c>
    </row>
    <row r="157" spans="1:5" ht="15.75">
      <c r="A157" s="824"/>
      <c r="B157" s="711" t="s">
        <v>717</v>
      </c>
      <c r="C157" s="716">
        <v>400000</v>
      </c>
      <c r="D157" s="788">
        <v>400000</v>
      </c>
      <c r="E157" s="710">
        <v>5139</v>
      </c>
    </row>
    <row r="158" spans="1:5" ht="15.75">
      <c r="A158" s="712"/>
      <c r="B158" s="709" t="s">
        <v>804</v>
      </c>
      <c r="C158" s="716">
        <v>300000</v>
      </c>
      <c r="D158" s="788">
        <v>300000</v>
      </c>
      <c r="E158" s="710">
        <v>5156</v>
      </c>
    </row>
    <row r="159" spans="1:5" ht="15.75">
      <c r="A159" s="712"/>
      <c r="B159" s="711" t="s">
        <v>718</v>
      </c>
      <c r="C159" s="716">
        <v>30000</v>
      </c>
      <c r="D159" s="788">
        <v>30000</v>
      </c>
      <c r="E159" s="710">
        <v>5162</v>
      </c>
    </row>
    <row r="160" spans="1:5" ht="15.75">
      <c r="A160" s="712"/>
      <c r="B160" s="711" t="s">
        <v>719</v>
      </c>
      <c r="C160" s="716">
        <v>20000</v>
      </c>
      <c r="D160" s="788">
        <v>20000</v>
      </c>
      <c r="E160" s="710">
        <v>5167</v>
      </c>
    </row>
    <row r="161" spans="1:5" ht="15.75">
      <c r="A161" s="712"/>
      <c r="B161" s="779" t="s">
        <v>413</v>
      </c>
      <c r="C161" s="716">
        <v>10000</v>
      </c>
      <c r="D161" s="788">
        <v>10000</v>
      </c>
      <c r="E161" s="710">
        <v>5171</v>
      </c>
    </row>
    <row r="162" spans="1:5" ht="15.75">
      <c r="A162" s="712"/>
      <c r="B162" s="790" t="s">
        <v>805</v>
      </c>
      <c r="C162" s="716">
        <v>260000</v>
      </c>
      <c r="D162" s="788">
        <v>260000</v>
      </c>
      <c r="E162" s="710">
        <v>5169</v>
      </c>
    </row>
    <row r="163" spans="1:5" ht="15.75">
      <c r="A163" s="712"/>
      <c r="B163" s="790" t="s">
        <v>720</v>
      </c>
      <c r="C163" s="716">
        <v>140000</v>
      </c>
      <c r="D163" s="788">
        <v>140000</v>
      </c>
      <c r="E163" s="710">
        <v>5021</v>
      </c>
    </row>
    <row r="164" spans="1:5" ht="15.75">
      <c r="A164" s="712"/>
      <c r="B164" s="790" t="s">
        <v>806</v>
      </c>
      <c r="C164" s="716">
        <v>5000</v>
      </c>
      <c r="D164" s="788">
        <v>5000</v>
      </c>
      <c r="E164" s="710">
        <v>5173</v>
      </c>
    </row>
    <row r="165" spans="1:5" ht="18.75">
      <c r="A165" s="831" t="s">
        <v>358</v>
      </c>
      <c r="B165" s="836"/>
      <c r="C165" s="833">
        <f>SUM(C155:C164)</f>
        <v>1225000</v>
      </c>
      <c r="D165" s="833">
        <f>SUM(D155:D164)</f>
        <v>1240000</v>
      </c>
      <c r="E165" s="834"/>
    </row>
    <row r="166" spans="1:5" ht="18.75">
      <c r="A166" s="694"/>
      <c r="B166" s="695"/>
      <c r="C166" s="696"/>
      <c r="D166" s="696"/>
      <c r="E166" s="697"/>
    </row>
    <row r="167" spans="1:5" ht="15.75">
      <c r="A167" s="712" t="s">
        <v>465</v>
      </c>
      <c r="B167" s="813" t="s">
        <v>686</v>
      </c>
      <c r="C167" s="826">
        <v>3000</v>
      </c>
      <c r="D167" s="788">
        <v>3000</v>
      </c>
      <c r="E167" s="827">
        <v>5139</v>
      </c>
    </row>
    <row r="168" spans="1:5" ht="15.75">
      <c r="A168" s="712" t="s">
        <v>466</v>
      </c>
      <c r="B168" s="828" t="s">
        <v>773</v>
      </c>
      <c r="C168" s="826">
        <v>130000</v>
      </c>
      <c r="D168" s="788">
        <v>130000</v>
      </c>
      <c r="E168" s="827">
        <v>5156</v>
      </c>
    </row>
    <row r="169" spans="1:6" ht="15.75">
      <c r="A169" s="712"/>
      <c r="B169" s="828" t="s">
        <v>775</v>
      </c>
      <c r="C169" s="826">
        <v>7200</v>
      </c>
      <c r="D169" s="788">
        <v>7200</v>
      </c>
      <c r="E169" s="827">
        <v>5168</v>
      </c>
      <c r="F169" s="429"/>
    </row>
    <row r="170" spans="1:6" ht="15.75">
      <c r="A170" s="712"/>
      <c r="B170" s="829" t="s">
        <v>735</v>
      </c>
      <c r="C170" s="826">
        <v>18000</v>
      </c>
      <c r="D170" s="788">
        <v>18000</v>
      </c>
      <c r="E170" s="827">
        <v>5362</v>
      </c>
      <c r="F170" s="429"/>
    </row>
    <row r="171" spans="1:5" ht="15.75">
      <c r="A171" s="712"/>
      <c r="B171" s="829" t="s">
        <v>774</v>
      </c>
      <c r="C171" s="826">
        <v>3600000</v>
      </c>
      <c r="D171" s="788">
        <v>3500000</v>
      </c>
      <c r="E171" s="827">
        <v>5169</v>
      </c>
    </row>
    <row r="172" spans="1:5" ht="18.75">
      <c r="A172" s="831" t="s">
        <v>358</v>
      </c>
      <c r="B172" s="836"/>
      <c r="C172" s="833">
        <f>SUM(C167:C171)</f>
        <v>3758200</v>
      </c>
      <c r="D172" s="833">
        <f>SUM(D167:D171)</f>
        <v>3658200</v>
      </c>
      <c r="E172" s="834"/>
    </row>
    <row r="173" spans="1:5" ht="15.75">
      <c r="A173" s="712"/>
      <c r="B173" s="830"/>
      <c r="C173" s="716"/>
      <c r="D173" s="716"/>
      <c r="E173" s="710"/>
    </row>
    <row r="174" spans="1:5" ht="15.75">
      <c r="A174" s="712" t="s">
        <v>467</v>
      </c>
      <c r="B174" s="782" t="s">
        <v>721</v>
      </c>
      <c r="C174" s="717">
        <v>12000</v>
      </c>
      <c r="D174" s="808">
        <v>12000</v>
      </c>
      <c r="E174" s="710">
        <v>5137</v>
      </c>
    </row>
    <row r="175" spans="1:5" ht="15.75">
      <c r="A175" s="712"/>
      <c r="B175" s="782" t="s">
        <v>722</v>
      </c>
      <c r="C175" s="717">
        <v>290000</v>
      </c>
      <c r="D175" s="808">
        <v>290000</v>
      </c>
      <c r="E175" s="710">
        <v>5139</v>
      </c>
    </row>
    <row r="176" spans="1:5" ht="15.75">
      <c r="A176" s="712"/>
      <c r="B176" s="782" t="s">
        <v>723</v>
      </c>
      <c r="C176" s="717">
        <v>700000</v>
      </c>
      <c r="D176" s="808">
        <v>700000</v>
      </c>
      <c r="E176" s="710">
        <v>5154</v>
      </c>
    </row>
    <row r="177" spans="1:5" ht="15.75">
      <c r="A177" s="712"/>
      <c r="B177" s="709" t="s">
        <v>811</v>
      </c>
      <c r="C177" s="717">
        <v>60000</v>
      </c>
      <c r="D177" s="808">
        <v>60000</v>
      </c>
      <c r="E177" s="710">
        <v>5156</v>
      </c>
    </row>
    <row r="178" spans="1:5" ht="15.75">
      <c r="A178" s="712"/>
      <c r="B178" s="782" t="s">
        <v>724</v>
      </c>
      <c r="C178" s="716">
        <v>5000</v>
      </c>
      <c r="D178" s="716">
        <v>5000</v>
      </c>
      <c r="E178" s="710">
        <v>5167</v>
      </c>
    </row>
    <row r="179" spans="1:5" ht="15.75">
      <c r="A179" s="712"/>
      <c r="B179" s="790" t="s">
        <v>812</v>
      </c>
      <c r="C179" s="825">
        <v>30000</v>
      </c>
      <c r="D179" s="716">
        <v>30000</v>
      </c>
      <c r="E179" s="710">
        <v>5169</v>
      </c>
    </row>
    <row r="180" spans="1:5" ht="18.75">
      <c r="A180" s="831" t="s">
        <v>358</v>
      </c>
      <c r="B180" s="836"/>
      <c r="C180" s="833">
        <f>SUM(C174:C179)</f>
        <v>1097000</v>
      </c>
      <c r="D180" s="833">
        <f>SUM(D174:D179)</f>
        <v>1097000</v>
      </c>
      <c r="E180" s="834"/>
    </row>
    <row r="181" spans="1:5" ht="18.75">
      <c r="A181" s="783"/>
      <c r="B181" s="810"/>
      <c r="C181" s="784"/>
      <c r="D181" s="784"/>
      <c r="E181" s="697"/>
    </row>
    <row r="182" spans="1:5" ht="15.75">
      <c r="A182" s="712" t="s">
        <v>468</v>
      </c>
      <c r="B182" s="718" t="s">
        <v>797</v>
      </c>
      <c r="C182" s="717">
        <v>200000</v>
      </c>
      <c r="D182" s="808">
        <v>200000</v>
      </c>
      <c r="E182" s="710">
        <v>5139</v>
      </c>
    </row>
    <row r="183" spans="1:5" ht="15.75">
      <c r="A183" s="712"/>
      <c r="B183" s="709" t="s">
        <v>725</v>
      </c>
      <c r="C183" s="717">
        <v>20000</v>
      </c>
      <c r="D183" s="808">
        <v>20000</v>
      </c>
      <c r="E183" s="710">
        <v>5137</v>
      </c>
    </row>
    <row r="184" spans="1:5" ht="15.75">
      <c r="A184" s="712"/>
      <c r="B184" s="709" t="s">
        <v>726</v>
      </c>
      <c r="C184" s="716">
        <v>135000</v>
      </c>
      <c r="D184" s="716">
        <v>135000</v>
      </c>
      <c r="E184" s="710">
        <v>5156</v>
      </c>
    </row>
    <row r="185" spans="1:5" ht="15.75">
      <c r="A185" s="712"/>
      <c r="B185" s="711" t="s">
        <v>727</v>
      </c>
      <c r="C185" s="716">
        <v>60000</v>
      </c>
      <c r="D185" s="716">
        <v>60000</v>
      </c>
      <c r="E185" s="710">
        <v>5169</v>
      </c>
    </row>
    <row r="186" spans="1:5" ht="18.75">
      <c r="A186" s="831" t="s">
        <v>358</v>
      </c>
      <c r="B186" s="836"/>
      <c r="C186" s="833">
        <f>SUM(C182:C185)</f>
        <v>415000</v>
      </c>
      <c r="D186" s="833">
        <f>SUM(D182:D185)</f>
        <v>415000</v>
      </c>
      <c r="E186" s="834"/>
    </row>
    <row r="187" spans="1:5" ht="18.75">
      <c r="A187" s="694"/>
      <c r="B187" s="695"/>
      <c r="C187" s="696"/>
      <c r="D187" s="696"/>
      <c r="E187" s="697"/>
    </row>
    <row r="188" spans="1:5" ht="15.75">
      <c r="A188" s="712" t="s">
        <v>469</v>
      </c>
      <c r="B188" s="800" t="s">
        <v>412</v>
      </c>
      <c r="C188" s="717">
        <v>2000</v>
      </c>
      <c r="D188" s="808">
        <v>2000</v>
      </c>
      <c r="E188" s="710">
        <v>5167</v>
      </c>
    </row>
    <row r="189" spans="1:5" ht="15.75">
      <c r="A189" s="712"/>
      <c r="B189" s="779" t="s">
        <v>798</v>
      </c>
      <c r="C189" s="716">
        <v>20000</v>
      </c>
      <c r="D189" s="716">
        <v>20000</v>
      </c>
      <c r="E189" s="710">
        <v>5137</v>
      </c>
    </row>
    <row r="190" spans="1:5" ht="15.75">
      <c r="A190" s="791"/>
      <c r="B190" s="711" t="s">
        <v>713</v>
      </c>
      <c r="C190" s="716">
        <v>200000</v>
      </c>
      <c r="D190" s="716">
        <v>200000</v>
      </c>
      <c r="E190" s="710">
        <v>5139</v>
      </c>
    </row>
    <row r="191" spans="1:5" ht="15.75">
      <c r="A191" s="791"/>
      <c r="B191" s="711" t="s">
        <v>714</v>
      </c>
      <c r="C191" s="716">
        <v>25000</v>
      </c>
      <c r="D191" s="716">
        <v>25000</v>
      </c>
      <c r="E191" s="710">
        <v>5156</v>
      </c>
    </row>
    <row r="192" spans="1:5" ht="15.75">
      <c r="A192" s="791"/>
      <c r="B192" s="711" t="s">
        <v>799</v>
      </c>
      <c r="C192" s="716">
        <v>10000</v>
      </c>
      <c r="D192" s="716">
        <v>10000</v>
      </c>
      <c r="E192" s="710">
        <v>5162</v>
      </c>
    </row>
    <row r="193" spans="1:5" ht="15.75">
      <c r="A193" s="791"/>
      <c r="B193" s="709" t="s">
        <v>800</v>
      </c>
      <c r="C193" s="716">
        <v>35000</v>
      </c>
      <c r="D193" s="716">
        <v>35000</v>
      </c>
      <c r="E193" s="710">
        <v>5169</v>
      </c>
    </row>
    <row r="194" spans="1:5" ht="18.75">
      <c r="A194" s="831" t="s">
        <v>358</v>
      </c>
      <c r="B194" s="836"/>
      <c r="C194" s="833">
        <f>SUM(C188:C193)</f>
        <v>292000</v>
      </c>
      <c r="D194" s="833">
        <f>SUM(D188:D193)</f>
        <v>292000</v>
      </c>
      <c r="E194" s="834"/>
    </row>
    <row r="195" spans="1:5" ht="18.75">
      <c r="A195" s="694"/>
      <c r="B195" s="695"/>
      <c r="C195" s="696"/>
      <c r="D195" s="696"/>
      <c r="E195" s="697"/>
    </row>
    <row r="196" spans="1:5" ht="15">
      <c r="A196" s="719" t="s">
        <v>163</v>
      </c>
      <c r="B196" s="709" t="s">
        <v>767</v>
      </c>
      <c r="C196" s="715">
        <v>240000</v>
      </c>
      <c r="D196" s="808">
        <v>450000</v>
      </c>
      <c r="E196" s="710">
        <v>5229</v>
      </c>
    </row>
    <row r="197" spans="1:5" ht="18.75">
      <c r="A197" s="252" t="s">
        <v>358</v>
      </c>
      <c r="B197" s="271"/>
      <c r="C197" s="266">
        <f>SUM(C196:C196)</f>
        <v>240000</v>
      </c>
      <c r="D197" s="266">
        <f>SUM(D196:D196)</f>
        <v>450000</v>
      </c>
      <c r="E197" s="496"/>
    </row>
    <row r="198" spans="1:5" ht="18.75">
      <c r="A198" s="694"/>
      <c r="B198" s="695"/>
      <c r="C198" s="696"/>
      <c r="D198" s="696"/>
      <c r="E198" s="697"/>
    </row>
    <row r="199" spans="1:5" ht="15">
      <c r="A199" s="720" t="s">
        <v>796</v>
      </c>
      <c r="B199" s="714" t="s">
        <v>730</v>
      </c>
      <c r="C199" s="715">
        <v>100000</v>
      </c>
      <c r="D199" s="808">
        <v>100000</v>
      </c>
      <c r="E199" s="710">
        <v>5021</v>
      </c>
    </row>
    <row r="200" spans="1:5" ht="15">
      <c r="A200" s="720"/>
      <c r="B200" s="714" t="s">
        <v>731</v>
      </c>
      <c r="C200" s="715">
        <v>60000</v>
      </c>
      <c r="D200" s="808">
        <v>60000</v>
      </c>
      <c r="E200" s="710">
        <v>5139</v>
      </c>
    </row>
    <row r="201" spans="1:5" ht="15">
      <c r="A201" s="720"/>
      <c r="B201" s="714" t="s">
        <v>794</v>
      </c>
      <c r="C201" s="715">
        <v>15000</v>
      </c>
      <c r="D201" s="808">
        <v>15000</v>
      </c>
      <c r="E201" s="710">
        <v>5156</v>
      </c>
    </row>
    <row r="202" spans="1:5" ht="15">
      <c r="A202" s="720"/>
      <c r="B202" s="714" t="s">
        <v>795</v>
      </c>
      <c r="C202" s="715">
        <v>9000</v>
      </c>
      <c r="D202" s="808">
        <v>9000</v>
      </c>
      <c r="E202" s="710">
        <v>5169</v>
      </c>
    </row>
    <row r="203" spans="1:5" ht="18.75">
      <c r="A203" s="831" t="s">
        <v>358</v>
      </c>
      <c r="B203" s="836"/>
      <c r="C203" s="833">
        <f>SUM(C199:C202)</f>
        <v>184000</v>
      </c>
      <c r="D203" s="833">
        <f>SUM(D199:D202)</f>
        <v>184000</v>
      </c>
      <c r="E203" s="834"/>
    </row>
    <row r="204" spans="1:5" ht="12.75">
      <c r="A204" s="792"/>
      <c r="B204" s="811"/>
      <c r="C204" s="798"/>
      <c r="D204" s="798"/>
      <c r="E204" s="697"/>
    </row>
    <row r="205" spans="1:5" ht="15">
      <c r="A205" s="719" t="s">
        <v>470</v>
      </c>
      <c r="B205" s="709" t="s">
        <v>687</v>
      </c>
      <c r="C205" s="794">
        <v>130000</v>
      </c>
      <c r="D205" s="795">
        <v>130000</v>
      </c>
      <c r="E205" s="710">
        <v>5139</v>
      </c>
    </row>
    <row r="206" spans="1:5" ht="15">
      <c r="A206" s="720"/>
      <c r="B206" s="711" t="s">
        <v>688</v>
      </c>
      <c r="C206" s="794">
        <v>2000</v>
      </c>
      <c r="D206" s="795">
        <v>2000</v>
      </c>
      <c r="E206" s="710">
        <v>5132</v>
      </c>
    </row>
    <row r="207" spans="1:5" ht="15">
      <c r="A207" s="720"/>
      <c r="B207" s="711" t="s">
        <v>787</v>
      </c>
      <c r="C207" s="794">
        <v>1000</v>
      </c>
      <c r="D207" s="795">
        <v>1000</v>
      </c>
      <c r="E207" s="710">
        <v>5156</v>
      </c>
    </row>
    <row r="208" spans="1:5" ht="15">
      <c r="A208" s="720"/>
      <c r="B208" s="709" t="s">
        <v>295</v>
      </c>
      <c r="C208" s="794">
        <v>1000</v>
      </c>
      <c r="D208" s="795">
        <v>1000</v>
      </c>
      <c r="E208" s="710">
        <v>5155</v>
      </c>
    </row>
    <row r="209" spans="1:5" ht="15">
      <c r="A209" s="720"/>
      <c r="B209" s="711" t="s">
        <v>788</v>
      </c>
      <c r="C209" s="794">
        <v>1000</v>
      </c>
      <c r="D209" s="795">
        <v>1000</v>
      </c>
      <c r="E209" s="710">
        <v>5162</v>
      </c>
    </row>
    <row r="210" spans="1:5" ht="15">
      <c r="A210" s="720"/>
      <c r="B210" s="711" t="s">
        <v>739</v>
      </c>
      <c r="C210" s="794">
        <v>5000</v>
      </c>
      <c r="D210" s="795">
        <v>15000</v>
      </c>
      <c r="E210" s="710">
        <v>5137</v>
      </c>
    </row>
    <row r="211" spans="1:5" ht="15">
      <c r="A211" s="720"/>
      <c r="B211" s="714" t="s">
        <v>786</v>
      </c>
      <c r="C211" s="794">
        <v>30000</v>
      </c>
      <c r="D211" s="795">
        <v>30000</v>
      </c>
      <c r="E211" s="710">
        <v>5169</v>
      </c>
    </row>
    <row r="212" spans="1:5" ht="18.75">
      <c r="A212" s="831" t="s">
        <v>358</v>
      </c>
      <c r="B212" s="836"/>
      <c r="C212" s="833">
        <f>SUM(C205:C211)</f>
        <v>170000</v>
      </c>
      <c r="D212" s="833">
        <f>SUM(D205:D211)</f>
        <v>180000</v>
      </c>
      <c r="E212" s="834"/>
    </row>
    <row r="213" spans="1:5" ht="18.75">
      <c r="A213" s="783"/>
      <c r="B213" s="810"/>
      <c r="C213" s="784"/>
      <c r="D213" s="784"/>
      <c r="E213" s="697"/>
    </row>
    <row r="214" spans="1:5" ht="15">
      <c r="A214" s="719" t="s">
        <v>471</v>
      </c>
      <c r="B214" s="763" t="s">
        <v>728</v>
      </c>
      <c r="C214" s="717">
        <v>130000</v>
      </c>
      <c r="D214" s="808">
        <v>150000</v>
      </c>
      <c r="E214" s="710">
        <v>5139</v>
      </c>
    </row>
    <row r="215" spans="1:5" ht="15">
      <c r="A215" s="719"/>
      <c r="B215" s="709" t="s">
        <v>729</v>
      </c>
      <c r="C215" s="717">
        <v>30000</v>
      </c>
      <c r="D215" s="808">
        <v>30000</v>
      </c>
      <c r="E215" s="710">
        <v>5154</v>
      </c>
    </row>
    <row r="216" spans="1:5" ht="18.75">
      <c r="A216" s="831" t="s">
        <v>358</v>
      </c>
      <c r="B216" s="836"/>
      <c r="C216" s="833">
        <f>SUM(C214:C215)</f>
        <v>160000</v>
      </c>
      <c r="D216" s="833">
        <f>SUM(D214:D215)</f>
        <v>180000</v>
      </c>
      <c r="E216" s="834"/>
    </row>
    <row r="217" spans="1:5" ht="18.75">
      <c r="A217" s="274"/>
      <c r="B217" s="272"/>
      <c r="C217" s="273"/>
      <c r="D217" s="273"/>
      <c r="E217" s="697"/>
    </row>
    <row r="218" spans="1:6" ht="15">
      <c r="A218" s="764" t="s">
        <v>164</v>
      </c>
      <c r="B218" s="765" t="s">
        <v>772</v>
      </c>
      <c r="C218" s="766">
        <v>30000</v>
      </c>
      <c r="D218" s="767">
        <v>0</v>
      </c>
      <c r="E218" s="768">
        <v>5331</v>
      </c>
      <c r="F218" s="769"/>
    </row>
    <row r="219" spans="1:5" ht="18.75">
      <c r="A219" s="252" t="s">
        <v>358</v>
      </c>
      <c r="B219" s="271"/>
      <c r="C219" s="266">
        <f>SUM(C218:C218)</f>
        <v>30000</v>
      </c>
      <c r="D219" s="266">
        <f>SUM(D218:D218)</f>
        <v>0</v>
      </c>
      <c r="E219" s="496"/>
    </row>
    <row r="220" spans="1:5" ht="18.75">
      <c r="A220" s="275"/>
      <c r="B220" s="272"/>
      <c r="C220" s="273"/>
      <c r="D220" s="273"/>
      <c r="E220" s="697"/>
    </row>
    <row r="221" spans="1:5" ht="15">
      <c r="A221" s="719" t="s">
        <v>472</v>
      </c>
      <c r="B221" s="711" t="s">
        <v>689</v>
      </c>
      <c r="C221" s="715">
        <v>12000</v>
      </c>
      <c r="D221" s="808">
        <v>12000</v>
      </c>
      <c r="E221" s="710">
        <v>5169</v>
      </c>
    </row>
    <row r="222" spans="1:5" ht="18.75">
      <c r="A222" s="831" t="s">
        <v>358</v>
      </c>
      <c r="B222" s="838"/>
      <c r="C222" s="833">
        <f>SUM(C221:C221)</f>
        <v>12000</v>
      </c>
      <c r="D222" s="833">
        <f>SUM(D221:D221)</f>
        <v>12000</v>
      </c>
      <c r="E222" s="834"/>
    </row>
    <row r="223" spans="1:5" ht="18.75">
      <c r="A223" s="837"/>
      <c r="B223" s="695"/>
      <c r="C223" s="696"/>
      <c r="D223" s="696"/>
      <c r="E223" s="697"/>
    </row>
    <row r="224" spans="1:5" ht="15">
      <c r="A224" s="719" t="s">
        <v>389</v>
      </c>
      <c r="B224" s="714" t="s">
        <v>1200</v>
      </c>
      <c r="C224" s="715">
        <v>358000</v>
      </c>
      <c r="D224" s="808">
        <v>358000</v>
      </c>
      <c r="E224" s="710">
        <v>5331</v>
      </c>
    </row>
    <row r="225" spans="1:5" ht="18.75">
      <c r="A225" s="831" t="s">
        <v>358</v>
      </c>
      <c r="B225" s="836"/>
      <c r="C225" s="833">
        <f>SUM(C224:C224)</f>
        <v>358000</v>
      </c>
      <c r="D225" s="833">
        <f>SUM(D224:D224)</f>
        <v>358000</v>
      </c>
      <c r="E225" s="834"/>
    </row>
    <row r="226" spans="1:5" ht="18.75">
      <c r="A226" s="837"/>
      <c r="B226" s="695"/>
      <c r="C226" s="696"/>
      <c r="D226" s="696"/>
      <c r="E226" s="697"/>
    </row>
    <row r="227" spans="1:5" ht="15">
      <c r="A227" s="719" t="s">
        <v>498</v>
      </c>
      <c r="B227" s="711" t="s">
        <v>732</v>
      </c>
      <c r="C227" s="715">
        <v>0</v>
      </c>
      <c r="D227" s="723">
        <v>0</v>
      </c>
      <c r="E227" s="710">
        <v>5011</v>
      </c>
    </row>
    <row r="228" spans="1:5" ht="15">
      <c r="A228" s="719"/>
      <c r="B228" s="711" t="s">
        <v>733</v>
      </c>
      <c r="C228" s="715">
        <v>0</v>
      </c>
      <c r="D228" s="723">
        <v>0</v>
      </c>
      <c r="E228" s="710">
        <v>5031</v>
      </c>
    </row>
    <row r="229" spans="1:5" ht="15">
      <c r="A229" s="719"/>
      <c r="B229" s="711" t="s">
        <v>734</v>
      </c>
      <c r="C229" s="715">
        <v>0</v>
      </c>
      <c r="D229" s="723">
        <v>0</v>
      </c>
      <c r="E229" s="710">
        <v>5032</v>
      </c>
    </row>
    <row r="230" spans="1:5" ht="18.75">
      <c r="A230" s="252" t="s">
        <v>358</v>
      </c>
      <c r="B230" s="271"/>
      <c r="C230" s="266">
        <f>SUM(C227:C229)</f>
        <v>0</v>
      </c>
      <c r="D230" s="266">
        <f>SUM(D227:D229)</f>
        <v>0</v>
      </c>
      <c r="E230" s="496"/>
    </row>
    <row r="231" spans="1:5" ht="18.75">
      <c r="A231" s="276"/>
      <c r="B231" s="277"/>
      <c r="C231" s="278"/>
      <c r="D231" s="278"/>
      <c r="E231" s="697"/>
    </row>
    <row r="232" spans="1:5" ht="15">
      <c r="A232" s="719" t="s">
        <v>1197</v>
      </c>
      <c r="B232" s="839" t="s">
        <v>690</v>
      </c>
      <c r="C232" s="715">
        <v>4670000</v>
      </c>
      <c r="D232" s="808">
        <v>4670000</v>
      </c>
      <c r="E232" s="710">
        <v>5331</v>
      </c>
    </row>
    <row r="233" spans="1:5" ht="15">
      <c r="A233" s="719"/>
      <c r="B233" s="840" t="s">
        <v>691</v>
      </c>
      <c r="C233" s="715">
        <v>0</v>
      </c>
      <c r="D233" s="808">
        <v>0</v>
      </c>
      <c r="E233" s="710">
        <v>0</v>
      </c>
    </row>
    <row r="234" spans="1:5" ht="15">
      <c r="A234" s="719"/>
      <c r="B234" s="892" t="s">
        <v>1196</v>
      </c>
      <c r="C234" s="715">
        <v>0</v>
      </c>
      <c r="D234" s="808">
        <v>60000</v>
      </c>
      <c r="E234" s="710">
        <v>5331</v>
      </c>
    </row>
    <row r="235" spans="1:5" ht="15">
      <c r="A235" s="719"/>
      <c r="B235" s="823" t="s">
        <v>692</v>
      </c>
      <c r="C235" s="715">
        <v>345333</v>
      </c>
      <c r="D235" s="808">
        <v>345333</v>
      </c>
      <c r="E235" s="710" t="s">
        <v>275</v>
      </c>
    </row>
    <row r="236" spans="1:5" ht="18.75">
      <c r="A236" s="831" t="s">
        <v>358</v>
      </c>
      <c r="B236" s="836"/>
      <c r="C236" s="833">
        <f>SUM(C232:C235)</f>
        <v>5015333</v>
      </c>
      <c r="D236" s="833">
        <f>SUM(D232:D235)</f>
        <v>5075333</v>
      </c>
      <c r="E236" s="834"/>
    </row>
    <row r="237" spans="1:6" ht="18.75">
      <c r="A237" s="841"/>
      <c r="B237" s="842"/>
      <c r="C237" s="784"/>
      <c r="D237" s="784"/>
      <c r="E237" s="697"/>
      <c r="F237" s="163"/>
    </row>
    <row r="238" spans="1:5" ht="15">
      <c r="A238" s="843" t="s">
        <v>693</v>
      </c>
      <c r="B238" s="714" t="s">
        <v>631</v>
      </c>
      <c r="C238" s="844">
        <v>600000</v>
      </c>
      <c r="D238" s="845">
        <v>600000</v>
      </c>
      <c r="E238" s="846">
        <v>5331</v>
      </c>
    </row>
    <row r="239" spans="1:5" ht="15">
      <c r="A239" s="843" t="s">
        <v>589</v>
      </c>
      <c r="B239" s="847" t="s">
        <v>704</v>
      </c>
      <c r="C239" s="844">
        <v>3240</v>
      </c>
      <c r="D239" s="845">
        <v>3240</v>
      </c>
      <c r="E239" s="848" t="s">
        <v>275</v>
      </c>
    </row>
    <row r="240" spans="1:5" ht="15">
      <c r="A240" s="843"/>
      <c r="B240" s="847" t="s">
        <v>1201</v>
      </c>
      <c r="C240" s="844">
        <v>250000</v>
      </c>
      <c r="D240" s="845">
        <v>250000</v>
      </c>
      <c r="E240" s="848">
        <v>5331</v>
      </c>
    </row>
    <row r="241" spans="1:5" ht="15">
      <c r="A241" s="843"/>
      <c r="B241" s="847" t="s">
        <v>1198</v>
      </c>
      <c r="C241" s="844">
        <v>450000</v>
      </c>
      <c r="D241" s="845">
        <v>450000</v>
      </c>
      <c r="E241" s="848">
        <v>5331</v>
      </c>
    </row>
    <row r="242" spans="1:5" ht="15">
      <c r="A242" s="843"/>
      <c r="B242" s="847" t="s">
        <v>1199</v>
      </c>
      <c r="C242" s="844">
        <v>720000</v>
      </c>
      <c r="D242" s="845">
        <v>720000</v>
      </c>
      <c r="E242" s="848">
        <v>5331</v>
      </c>
    </row>
    <row r="243" spans="1:5" ht="15">
      <c r="A243" s="843"/>
      <c r="B243" s="847" t="s">
        <v>694</v>
      </c>
      <c r="C243" s="844">
        <v>2881907</v>
      </c>
      <c r="D243" s="845">
        <v>2881907</v>
      </c>
      <c r="E243" s="848">
        <v>5331</v>
      </c>
    </row>
    <row r="244" spans="1:5" ht="15">
      <c r="A244" s="843"/>
      <c r="B244" s="714" t="s">
        <v>633</v>
      </c>
      <c r="C244" s="844">
        <v>677927</v>
      </c>
      <c r="D244" s="845">
        <v>677927</v>
      </c>
      <c r="E244" s="848">
        <v>5331</v>
      </c>
    </row>
    <row r="245" spans="1:5" ht="15">
      <c r="A245" s="843"/>
      <c r="B245" s="714" t="s">
        <v>632</v>
      </c>
      <c r="C245" s="844">
        <v>2278710</v>
      </c>
      <c r="D245" s="845">
        <v>2278710</v>
      </c>
      <c r="E245" s="848">
        <v>5331</v>
      </c>
    </row>
    <row r="246" spans="1:5" ht="18.75">
      <c r="A246" s="252" t="s">
        <v>358</v>
      </c>
      <c r="B246" s="271"/>
      <c r="C246" s="266">
        <f>SUM(C238:C245)</f>
        <v>7861784</v>
      </c>
      <c r="D246" s="266">
        <f>SUM(D238:D245)</f>
        <v>7861784</v>
      </c>
      <c r="E246" s="496"/>
    </row>
    <row r="247" spans="1:5" ht="19.5" thickBot="1">
      <c r="A247" s="280"/>
      <c r="B247" s="277"/>
      <c r="C247" s="278"/>
      <c r="D247" s="278"/>
      <c r="E247" s="724"/>
    </row>
    <row r="248" spans="1:5" ht="18.75" thickBot="1">
      <c r="A248" s="281" t="s">
        <v>432</v>
      </c>
      <c r="B248" s="282"/>
      <c r="C248" s="283">
        <f>C9+C12+C17+C28+C34+C42+C49+C61+C80+C85+C92+C97+C102+C107+C113+C120+C131+C143+C148+C153+C165+C172+C180+C186+C194+C197+C203+C212+C216+C219+C222+C225+C230+C236+C246</f>
        <v>36447317</v>
      </c>
      <c r="D248" s="283">
        <f>D9+D12+D17+D28+D34+D42+D49+D61+D80+D85+D92+D97+D102+D107+D113+D120+D131+D143+D148+D153+D165+D172+D180+D186+D194+D197+D203+D212+D216+D219+D222+D225+D230+D236+D246</f>
        <v>34911317</v>
      </c>
      <c r="E248" s="531"/>
    </row>
    <row r="249" spans="2:5" ht="12.75">
      <c r="B249" s="284"/>
      <c r="E249" s="285"/>
    </row>
    <row r="250" spans="2:5" ht="12.75">
      <c r="B250" s="284"/>
      <c r="C250" s="104"/>
      <c r="E250" s="285"/>
    </row>
    <row r="251" spans="2:5" ht="12.75">
      <c r="B251" s="284"/>
      <c r="E251" s="285"/>
    </row>
    <row r="252" spans="2:5" ht="12.75">
      <c r="B252" s="284"/>
      <c r="E252" s="285"/>
    </row>
    <row r="253" spans="2:5" ht="12.75">
      <c r="B253" s="284"/>
      <c r="E253" s="285"/>
    </row>
  </sheetData>
  <sheetProtection/>
  <printOptions/>
  <pageMargins left="0" right="0" top="0" bottom="0" header="0.5118110236220472" footer="0.5118110236220472"/>
  <pageSetup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8.00390625" style="0" customWidth="1"/>
    <col min="2" max="2" width="12.25390625" style="0" customWidth="1"/>
    <col min="3" max="3" width="9.75390625" style="0" customWidth="1"/>
    <col min="4" max="4" width="33.625" style="0" customWidth="1"/>
  </cols>
  <sheetData>
    <row r="1" spans="1:4" ht="20.25">
      <c r="A1" s="286" t="s">
        <v>1215</v>
      </c>
      <c r="B1" s="287" t="s">
        <v>358</v>
      </c>
      <c r="C1" s="287"/>
      <c r="D1" s="761">
        <f>B15-B25</f>
        <v>32339</v>
      </c>
    </row>
    <row r="2" spans="1:3" ht="6" customHeight="1">
      <c r="A2" s="288"/>
      <c r="B2" s="1"/>
      <c r="C2" s="1"/>
    </row>
    <row r="3" ht="15">
      <c r="A3" s="746" t="s">
        <v>601</v>
      </c>
    </row>
    <row r="4" spans="1:4" ht="15">
      <c r="A4" s="286" t="s">
        <v>1276</v>
      </c>
      <c r="D4" s="322"/>
    </row>
    <row r="6" spans="1:4" ht="16.5" thickBot="1">
      <c r="A6" s="223" t="s">
        <v>499</v>
      </c>
      <c r="B6" s="289"/>
      <c r="C6" s="291"/>
      <c r="D6" s="1"/>
    </row>
    <row r="7" spans="1:4" ht="12.75">
      <c r="A7" s="540" t="s">
        <v>500</v>
      </c>
      <c r="B7" s="293" t="s">
        <v>1219</v>
      </c>
      <c r="C7" s="541" t="s">
        <v>502</v>
      </c>
      <c r="D7" s="542" t="s">
        <v>503</v>
      </c>
    </row>
    <row r="8" spans="1:4" ht="13.5" thickBot="1">
      <c r="A8" s="390"/>
      <c r="B8" s="296" t="s">
        <v>695</v>
      </c>
      <c r="C8" s="543" t="s">
        <v>504</v>
      </c>
      <c r="D8" s="544"/>
    </row>
    <row r="9" spans="1:6" ht="12.75">
      <c r="A9" s="537" t="s">
        <v>505</v>
      </c>
      <c r="B9" s="538">
        <v>33591</v>
      </c>
      <c r="C9" s="334" t="s">
        <v>506</v>
      </c>
      <c r="D9" s="539" t="s">
        <v>507</v>
      </c>
      <c r="F9" s="322"/>
    </row>
    <row r="10" spans="1:4" ht="12.75">
      <c r="A10" s="300" t="s">
        <v>508</v>
      </c>
      <c r="B10" s="529">
        <v>0</v>
      </c>
      <c r="C10" s="328" t="s">
        <v>506</v>
      </c>
      <c r="D10" s="317"/>
    </row>
    <row r="11" spans="1:4" ht="12.75">
      <c r="A11" s="300" t="s">
        <v>509</v>
      </c>
      <c r="B11" s="529">
        <v>0</v>
      </c>
      <c r="C11" s="328" t="s">
        <v>510</v>
      </c>
      <c r="D11" s="317" t="s">
        <v>514</v>
      </c>
    </row>
    <row r="12" spans="1:4" ht="12.75">
      <c r="A12" s="727" t="s">
        <v>590</v>
      </c>
      <c r="B12" s="529">
        <v>0</v>
      </c>
      <c r="C12" s="328" t="s">
        <v>884</v>
      </c>
      <c r="D12" s="317"/>
    </row>
    <row r="13" spans="1:4" ht="12.75">
      <c r="A13" s="315" t="s">
        <v>515</v>
      </c>
      <c r="B13" s="529">
        <v>0</v>
      </c>
      <c r="C13" s="328" t="s">
        <v>516</v>
      </c>
      <c r="D13" s="317" t="s">
        <v>517</v>
      </c>
    </row>
    <row r="14" spans="1:4" ht="13.5" thickBot="1">
      <c r="A14" s="301" t="s">
        <v>518</v>
      </c>
      <c r="B14" s="533">
        <v>0</v>
      </c>
      <c r="C14" s="327" t="s">
        <v>506</v>
      </c>
      <c r="D14" s="364"/>
    </row>
    <row r="15" spans="1:4" ht="23.25" customHeight="1" thickBot="1">
      <c r="A15" s="545" t="s">
        <v>358</v>
      </c>
      <c r="B15" s="534">
        <f>SUM(B9:B14)</f>
        <v>33591</v>
      </c>
      <c r="C15" s="758"/>
      <c r="D15" s="546"/>
    </row>
    <row r="16" ht="12.75">
      <c r="B16" s="535"/>
    </row>
    <row r="17" ht="12.75">
      <c r="B17" s="429"/>
    </row>
    <row r="18" spans="1:4" ht="19.5" thickBot="1">
      <c r="A18" s="307" t="s">
        <v>519</v>
      </c>
      <c r="B18" s="536"/>
      <c r="C18" s="308"/>
      <c r="D18" s="1"/>
    </row>
    <row r="19" spans="1:4" ht="12.75">
      <c r="A19" s="540" t="s">
        <v>500</v>
      </c>
      <c r="B19" s="293" t="s">
        <v>1219</v>
      </c>
      <c r="C19" s="309" t="s">
        <v>502</v>
      </c>
      <c r="D19" s="542" t="s">
        <v>503</v>
      </c>
    </row>
    <row r="20" spans="1:4" ht="13.5" thickBot="1">
      <c r="A20" s="390"/>
      <c r="B20" s="296" t="s">
        <v>695</v>
      </c>
      <c r="C20" s="311" t="s">
        <v>504</v>
      </c>
      <c r="D20" s="544"/>
    </row>
    <row r="21" spans="1:4" ht="12.75">
      <c r="A21" s="428" t="s">
        <v>497</v>
      </c>
      <c r="B21" s="605">
        <v>0</v>
      </c>
      <c r="C21" s="445" t="s">
        <v>521</v>
      </c>
      <c r="D21" s="539" t="s">
        <v>522</v>
      </c>
    </row>
    <row r="22" spans="1:4" ht="12.75">
      <c r="A22" s="423" t="s">
        <v>496</v>
      </c>
      <c r="B22" s="469">
        <v>1252</v>
      </c>
      <c r="C22" s="434" t="s">
        <v>523</v>
      </c>
      <c r="D22" s="317" t="s">
        <v>524</v>
      </c>
    </row>
    <row r="23" spans="1:4" ht="12.75">
      <c r="A23" s="315" t="s">
        <v>515</v>
      </c>
      <c r="B23" s="469">
        <v>0</v>
      </c>
      <c r="C23" s="434" t="s">
        <v>516</v>
      </c>
      <c r="D23" s="317" t="s">
        <v>525</v>
      </c>
    </row>
    <row r="24" spans="1:4" ht="13.5" thickBot="1">
      <c r="A24" s="302" t="s">
        <v>520</v>
      </c>
      <c r="B24" s="472">
        <v>0</v>
      </c>
      <c r="C24" s="436" t="s">
        <v>526</v>
      </c>
      <c r="D24" s="364" t="s">
        <v>527</v>
      </c>
    </row>
    <row r="25" spans="1:4" ht="24" customHeight="1" thickBot="1">
      <c r="A25" s="545" t="s">
        <v>358</v>
      </c>
      <c r="B25" s="534">
        <f>SUM(B21:B24)</f>
        <v>1252</v>
      </c>
      <c r="C25" s="547"/>
      <c r="D25" s="546"/>
    </row>
    <row r="26" ht="12.75">
      <c r="B26" s="429"/>
    </row>
    <row r="27" ht="12.75">
      <c r="B27" s="429"/>
    </row>
    <row r="28" ht="12.75">
      <c r="B28" s="322"/>
    </row>
    <row r="30" ht="12.75">
      <c r="B30" s="322"/>
    </row>
    <row r="32" spans="2:4" ht="12.75">
      <c r="B32" s="322"/>
      <c r="D32" s="322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4"/>
  <sheetViews>
    <sheetView tabSelected="1" zoomScale="90" zoomScaleNormal="90" zoomScalePageLayoutView="0" workbookViewId="0" topLeftCell="A232">
      <selection activeCell="B265" sqref="B265"/>
    </sheetView>
  </sheetViews>
  <sheetFormatPr defaultColWidth="9.00390625" defaultRowHeight="12.75"/>
  <cols>
    <col min="1" max="1" width="45.375" style="1" customWidth="1"/>
    <col min="2" max="2" width="12.75390625" style="1" customWidth="1"/>
    <col min="3" max="3" width="11.125" style="1" customWidth="1"/>
    <col min="4" max="4" width="69.75390625" style="1" customWidth="1"/>
    <col min="5" max="16384" width="9.00390625" style="1" customWidth="1"/>
  </cols>
  <sheetData>
    <row r="1" spans="1:7" ht="20.25">
      <c r="A1" s="286" t="s">
        <v>1214</v>
      </c>
      <c r="C1" s="287" t="s">
        <v>358</v>
      </c>
      <c r="D1" s="760">
        <f>B15+B56+B207+B225+B242+B305</f>
        <v>131483.5</v>
      </c>
      <c r="F1" s="104"/>
      <c r="G1" s="104"/>
    </row>
    <row r="2" spans="1:7" ht="5.25" customHeight="1">
      <c r="A2" s="288"/>
      <c r="C2" s="287"/>
      <c r="D2" s="323"/>
      <c r="F2" s="104"/>
      <c r="G2" s="104"/>
    </row>
    <row r="3" spans="1:7" ht="20.25">
      <c r="A3" s="747" t="s">
        <v>601</v>
      </c>
      <c r="C3" s="287"/>
      <c r="D3" s="477"/>
      <c r="F3" s="104"/>
      <c r="G3" s="104"/>
    </row>
    <row r="4" spans="1:7" ht="15" customHeight="1">
      <c r="A4" s="1027" t="s">
        <v>1276</v>
      </c>
      <c r="C4" s="287"/>
      <c r="D4" s="477"/>
      <c r="F4" s="104"/>
      <c r="G4" s="104"/>
    </row>
    <row r="5" ht="16.5" thickBot="1">
      <c r="A5" s="223" t="s">
        <v>528</v>
      </c>
    </row>
    <row r="6" spans="1:6" ht="15">
      <c r="A6" s="635" t="s">
        <v>500</v>
      </c>
      <c r="B6" s="1028" t="s">
        <v>1218</v>
      </c>
      <c r="C6" s="686" t="s">
        <v>502</v>
      </c>
      <c r="D6" s="292" t="s">
        <v>503</v>
      </c>
      <c r="F6" s="429" t="s">
        <v>97</v>
      </c>
    </row>
    <row r="7" spans="1:4" ht="13.5" thickBot="1">
      <c r="A7" s="381"/>
      <c r="B7" s="296" t="s">
        <v>695</v>
      </c>
      <c r="C7" s="687" t="s">
        <v>504</v>
      </c>
      <c r="D7" s="295" t="s">
        <v>529</v>
      </c>
    </row>
    <row r="8" spans="1:4" ht="14.25">
      <c r="A8" s="640" t="s">
        <v>530</v>
      </c>
      <c r="B8" s="870">
        <v>6965</v>
      </c>
      <c r="C8" s="688" t="s">
        <v>531</v>
      </c>
      <c r="D8" s="326" t="s">
        <v>532</v>
      </c>
    </row>
    <row r="9" spans="1:4" ht="14.25">
      <c r="A9" s="641" t="s">
        <v>533</v>
      </c>
      <c r="B9" s="637">
        <v>705</v>
      </c>
      <c r="C9" s="298" t="s">
        <v>531</v>
      </c>
      <c r="D9" s="299" t="s">
        <v>532</v>
      </c>
    </row>
    <row r="10" spans="1:4" ht="14.25">
      <c r="A10" s="641" t="s">
        <v>534</v>
      </c>
      <c r="B10" s="637">
        <v>580</v>
      </c>
      <c r="C10" s="298" t="s">
        <v>531</v>
      </c>
      <c r="D10" s="299" t="s">
        <v>532</v>
      </c>
    </row>
    <row r="11" spans="1:4" ht="14.25">
      <c r="A11" s="641" t="s">
        <v>535</v>
      </c>
      <c r="B11" s="637">
        <v>6950</v>
      </c>
      <c r="C11" s="298" t="s">
        <v>531</v>
      </c>
      <c r="D11" s="299" t="s">
        <v>532</v>
      </c>
    </row>
    <row r="12" spans="1:4" ht="14.25">
      <c r="A12" s="641" t="s">
        <v>536</v>
      </c>
      <c r="B12" s="637">
        <f>3785+193</f>
        <v>3978</v>
      </c>
      <c r="C12" s="298" t="s">
        <v>531</v>
      </c>
      <c r="D12" s="299" t="s">
        <v>532</v>
      </c>
    </row>
    <row r="13" spans="1:4" ht="14.25">
      <c r="A13" s="642" t="s">
        <v>537</v>
      </c>
      <c r="B13" s="652">
        <v>14700</v>
      </c>
      <c r="C13" s="344" t="s">
        <v>531</v>
      </c>
      <c r="D13" s="303" t="s">
        <v>532</v>
      </c>
    </row>
    <row r="14" spans="1:4" ht="15" thickBot="1">
      <c r="A14" s="643" t="s">
        <v>538</v>
      </c>
      <c r="B14" s="872">
        <v>2000</v>
      </c>
      <c r="C14" s="304" t="s">
        <v>531</v>
      </c>
      <c r="D14" s="330" t="s">
        <v>532</v>
      </c>
    </row>
    <row r="15" spans="1:8" ht="15.75" thickBot="1">
      <c r="A15" s="305" t="s">
        <v>358</v>
      </c>
      <c r="B15" s="762">
        <f>SUM(B8:B14)</f>
        <v>35878</v>
      </c>
      <c r="C15" s="306"/>
      <c r="D15" s="305"/>
      <c r="H15" s="470">
        <f>B15</f>
        <v>35878</v>
      </c>
    </row>
    <row r="16" spans="1:3" ht="9.75" customHeight="1">
      <c r="A16" s="331"/>
      <c r="B16" s="590"/>
      <c r="C16" s="332"/>
    </row>
    <row r="17" spans="1:3" ht="16.5" thickBot="1">
      <c r="A17" s="223" t="s">
        <v>539</v>
      </c>
      <c r="B17" s="591"/>
      <c r="C17" s="333"/>
    </row>
    <row r="18" spans="1:4" ht="15">
      <c r="A18" s="635" t="s">
        <v>500</v>
      </c>
      <c r="B18" s="1028" t="s">
        <v>1218</v>
      </c>
      <c r="C18" s="294" t="s">
        <v>502</v>
      </c>
      <c r="D18" s="292" t="s">
        <v>503</v>
      </c>
    </row>
    <row r="19" spans="1:4" ht="13.5" thickBot="1">
      <c r="A19" s="381"/>
      <c r="B19" s="296" t="s">
        <v>695</v>
      </c>
      <c r="C19" s="297" t="s">
        <v>504</v>
      </c>
      <c r="D19" s="312"/>
    </row>
    <row r="20" spans="1:4" ht="14.25">
      <c r="A20" s="645" t="s">
        <v>540</v>
      </c>
      <c r="B20" s="873">
        <v>80</v>
      </c>
      <c r="C20" s="341" t="s">
        <v>158</v>
      </c>
      <c r="D20" s="427" t="s">
        <v>168</v>
      </c>
    </row>
    <row r="21" spans="1:4" ht="14.25">
      <c r="A21" s="642" t="s">
        <v>540</v>
      </c>
      <c r="B21" s="644">
        <v>0</v>
      </c>
      <c r="C21" s="343" t="s">
        <v>829</v>
      </c>
      <c r="D21" s="345" t="s">
        <v>217</v>
      </c>
    </row>
    <row r="22" spans="1:4" ht="14.25">
      <c r="A22" s="642" t="s">
        <v>540</v>
      </c>
      <c r="B22" s="644">
        <v>0</v>
      </c>
      <c r="C22" s="343" t="s">
        <v>541</v>
      </c>
      <c r="D22" s="335" t="s">
        <v>545</v>
      </c>
    </row>
    <row r="23" spans="1:6" ht="14.25">
      <c r="A23" s="642" t="s">
        <v>540</v>
      </c>
      <c r="B23" s="644">
        <v>0</v>
      </c>
      <c r="C23" s="344" t="s">
        <v>546</v>
      </c>
      <c r="D23" s="336" t="s">
        <v>547</v>
      </c>
      <c r="F23" s="104"/>
    </row>
    <row r="24" spans="1:4" ht="14.25">
      <c r="A24" s="642" t="s">
        <v>540</v>
      </c>
      <c r="B24" s="644">
        <v>50</v>
      </c>
      <c r="C24" s="344" t="s">
        <v>548</v>
      </c>
      <c r="D24" s="303" t="s">
        <v>549</v>
      </c>
    </row>
    <row r="25" spans="1:6" ht="14.25">
      <c r="A25" s="646" t="s">
        <v>540</v>
      </c>
      <c r="B25" s="644">
        <v>0</v>
      </c>
      <c r="C25" s="344" t="s">
        <v>612</v>
      </c>
      <c r="D25" s="425" t="s">
        <v>380</v>
      </c>
      <c r="F25" s="104"/>
    </row>
    <row r="26" spans="1:7" ht="14.25">
      <c r="A26" s="642" t="s">
        <v>540</v>
      </c>
      <c r="B26" s="644">
        <v>109</v>
      </c>
      <c r="C26" s="344" t="s">
        <v>550</v>
      </c>
      <c r="D26" s="336" t="s">
        <v>551</v>
      </c>
      <c r="G26" s="104"/>
    </row>
    <row r="27" spans="1:7" ht="14.25">
      <c r="A27" s="642" t="s">
        <v>540</v>
      </c>
      <c r="B27" s="644">
        <v>10</v>
      </c>
      <c r="C27" s="344" t="s">
        <v>552</v>
      </c>
      <c r="D27" s="336" t="s">
        <v>553</v>
      </c>
      <c r="G27" s="104"/>
    </row>
    <row r="28" spans="1:7" ht="14.25">
      <c r="A28" s="646" t="s">
        <v>540</v>
      </c>
      <c r="B28" s="644">
        <v>0</v>
      </c>
      <c r="C28" s="344" t="s">
        <v>998</v>
      </c>
      <c r="D28" s="336" t="s">
        <v>968</v>
      </c>
      <c r="G28" s="104"/>
    </row>
    <row r="29" spans="1:8" ht="14.25">
      <c r="A29" s="642" t="s">
        <v>540</v>
      </c>
      <c r="B29" s="875">
        <v>60</v>
      </c>
      <c r="C29" s="344" t="s">
        <v>554</v>
      </c>
      <c r="D29" s="336" t="s">
        <v>293</v>
      </c>
      <c r="F29" s="430"/>
      <c r="G29" s="240"/>
      <c r="H29" s="240"/>
    </row>
    <row r="30" spans="1:8" ht="14.25">
      <c r="A30" s="642" t="s">
        <v>540</v>
      </c>
      <c r="B30" s="644">
        <v>0</v>
      </c>
      <c r="C30" s="344" t="s">
        <v>521</v>
      </c>
      <c r="D30" s="303" t="s">
        <v>555</v>
      </c>
      <c r="F30" s="104"/>
      <c r="H30" s="430"/>
    </row>
    <row r="31" spans="1:5" ht="14.25">
      <c r="A31" s="642" t="s">
        <v>540</v>
      </c>
      <c r="B31" s="644">
        <v>15</v>
      </c>
      <c r="C31" s="343" t="s">
        <v>556</v>
      </c>
      <c r="D31" s="337" t="s">
        <v>557</v>
      </c>
      <c r="E31" s="104"/>
    </row>
    <row r="32" spans="1:6" ht="14.25">
      <c r="A32" s="642" t="s">
        <v>540</v>
      </c>
      <c r="B32" s="644">
        <v>0</v>
      </c>
      <c r="C32" s="343" t="s">
        <v>558</v>
      </c>
      <c r="D32" s="337" t="s">
        <v>559</v>
      </c>
      <c r="F32" s="104"/>
    </row>
    <row r="33" spans="1:6" ht="14.25">
      <c r="A33" s="642" t="s">
        <v>540</v>
      </c>
      <c r="B33" s="644">
        <v>0</v>
      </c>
      <c r="C33" s="343" t="s">
        <v>576</v>
      </c>
      <c r="D33" s="350" t="s">
        <v>577</v>
      </c>
      <c r="F33" s="104"/>
    </row>
    <row r="34" spans="1:6" ht="14.25">
      <c r="A34" s="642" t="s">
        <v>540</v>
      </c>
      <c r="B34" s="644">
        <v>0</v>
      </c>
      <c r="C34" s="343" t="s">
        <v>560</v>
      </c>
      <c r="D34" s="299" t="s">
        <v>561</v>
      </c>
      <c r="F34" s="104"/>
    </row>
    <row r="35" spans="1:7" ht="14.25">
      <c r="A35" s="642" t="s">
        <v>540</v>
      </c>
      <c r="B35" s="644">
        <v>0</v>
      </c>
      <c r="C35" s="344" t="s">
        <v>531</v>
      </c>
      <c r="D35" s="303" t="s">
        <v>532</v>
      </c>
      <c r="F35" s="104"/>
      <c r="G35" s="104"/>
    </row>
    <row r="36" spans="1:4" ht="14.25">
      <c r="A36" s="642" t="s">
        <v>540</v>
      </c>
      <c r="B36" s="644">
        <v>0</v>
      </c>
      <c r="C36" s="298" t="s">
        <v>562</v>
      </c>
      <c r="D36" s="299" t="s">
        <v>563</v>
      </c>
    </row>
    <row r="37" spans="1:4" ht="14.25">
      <c r="A37" s="642" t="s">
        <v>540</v>
      </c>
      <c r="B37" s="644">
        <v>0</v>
      </c>
      <c r="C37" s="298" t="s">
        <v>564</v>
      </c>
      <c r="D37" s="425" t="s">
        <v>58</v>
      </c>
    </row>
    <row r="38" spans="1:6" ht="14.25">
      <c r="A38" s="642" t="s">
        <v>540</v>
      </c>
      <c r="B38" s="644">
        <v>0</v>
      </c>
      <c r="C38" s="298" t="s">
        <v>565</v>
      </c>
      <c r="D38" s="299" t="s">
        <v>566</v>
      </c>
      <c r="F38" s="104">
        <f>SUM(B20:B38)</f>
        <v>324</v>
      </c>
    </row>
    <row r="39" spans="1:4" ht="14.25">
      <c r="A39" s="646" t="s">
        <v>987</v>
      </c>
      <c r="B39" s="637">
        <v>0</v>
      </c>
      <c r="C39" s="298" t="s">
        <v>531</v>
      </c>
      <c r="D39" s="299" t="s">
        <v>532</v>
      </c>
    </row>
    <row r="40" spans="1:4" ht="14.25">
      <c r="A40" s="642" t="s">
        <v>567</v>
      </c>
      <c r="B40" s="637">
        <f>15+50</f>
        <v>65</v>
      </c>
      <c r="C40" s="298" t="s">
        <v>531</v>
      </c>
      <c r="D40" s="299" t="s">
        <v>532</v>
      </c>
    </row>
    <row r="41" spans="1:4" ht="14.25">
      <c r="A41" s="646" t="s">
        <v>492</v>
      </c>
      <c r="B41" s="637">
        <f>650+50+250</f>
        <v>950</v>
      </c>
      <c r="C41" s="298" t="s">
        <v>531</v>
      </c>
      <c r="D41" s="299" t="s">
        <v>532</v>
      </c>
    </row>
    <row r="42" spans="1:4" ht="14.25">
      <c r="A42" s="642" t="s">
        <v>569</v>
      </c>
      <c r="B42" s="637">
        <v>0</v>
      </c>
      <c r="C42" s="298" t="s">
        <v>570</v>
      </c>
      <c r="D42" s="299" t="s">
        <v>571</v>
      </c>
    </row>
    <row r="43" spans="1:4" ht="14.25">
      <c r="A43" s="642" t="s">
        <v>572</v>
      </c>
      <c r="B43" s="652">
        <v>0</v>
      </c>
      <c r="C43" s="298" t="s">
        <v>531</v>
      </c>
      <c r="D43" s="299" t="s">
        <v>532</v>
      </c>
    </row>
    <row r="44" spans="1:4" ht="14.25">
      <c r="A44" s="642" t="s">
        <v>573</v>
      </c>
      <c r="B44" s="652">
        <v>0</v>
      </c>
      <c r="C44" s="298" t="s">
        <v>531</v>
      </c>
      <c r="D44" s="299" t="s">
        <v>532</v>
      </c>
    </row>
    <row r="45" spans="1:4" ht="14.25">
      <c r="A45" s="647" t="s">
        <v>574</v>
      </c>
      <c r="B45" s="652">
        <v>0</v>
      </c>
      <c r="C45" s="673" t="s">
        <v>541</v>
      </c>
      <c r="D45" s="424" t="s">
        <v>545</v>
      </c>
    </row>
    <row r="46" spans="1:4" ht="14.25">
      <c r="A46" s="642" t="s">
        <v>575</v>
      </c>
      <c r="B46" s="652">
        <v>1700</v>
      </c>
      <c r="C46" s="344" t="s">
        <v>576</v>
      </c>
      <c r="D46" s="303" t="s">
        <v>577</v>
      </c>
    </row>
    <row r="47" spans="1:4" ht="14.25">
      <c r="A47" s="642" t="s">
        <v>578</v>
      </c>
      <c r="B47" s="652">
        <v>40</v>
      </c>
      <c r="C47" s="689" t="s">
        <v>531</v>
      </c>
      <c r="D47" s="338" t="s">
        <v>532</v>
      </c>
    </row>
    <row r="48" spans="1:4" ht="14.25">
      <c r="A48" s="642" t="s">
        <v>579</v>
      </c>
      <c r="B48" s="637">
        <v>70</v>
      </c>
      <c r="C48" s="298" t="s">
        <v>531</v>
      </c>
      <c r="D48" s="299" t="s">
        <v>532</v>
      </c>
    </row>
    <row r="49" spans="1:4" ht="14.25">
      <c r="A49" s="642" t="s">
        <v>580</v>
      </c>
      <c r="B49" s="637">
        <v>10</v>
      </c>
      <c r="C49" s="298" t="s">
        <v>531</v>
      </c>
      <c r="D49" s="299" t="s">
        <v>532</v>
      </c>
    </row>
    <row r="50" spans="1:4" ht="14.25">
      <c r="A50" s="642" t="s">
        <v>580</v>
      </c>
      <c r="B50" s="637">
        <v>0</v>
      </c>
      <c r="C50" s="298" t="s">
        <v>158</v>
      </c>
      <c r="D50" s="427" t="s">
        <v>168</v>
      </c>
    </row>
    <row r="51" spans="1:4" ht="14.25">
      <c r="A51" s="642" t="s">
        <v>580</v>
      </c>
      <c r="B51" s="637">
        <v>0</v>
      </c>
      <c r="C51" s="298" t="s">
        <v>548</v>
      </c>
      <c r="D51" s="303" t="s">
        <v>549</v>
      </c>
    </row>
    <row r="52" spans="1:4" ht="14.25">
      <c r="A52" s="642" t="s">
        <v>580</v>
      </c>
      <c r="B52" s="637">
        <v>0</v>
      </c>
      <c r="C52" s="298" t="s">
        <v>531</v>
      </c>
      <c r="D52" s="299" t="s">
        <v>532</v>
      </c>
    </row>
    <row r="53" spans="1:4" ht="14.25">
      <c r="A53" s="642" t="s">
        <v>581</v>
      </c>
      <c r="B53" s="637">
        <v>0</v>
      </c>
      <c r="C53" s="298" t="s">
        <v>158</v>
      </c>
      <c r="D53" s="427" t="s">
        <v>168</v>
      </c>
    </row>
    <row r="54" spans="1:4" ht="14.25">
      <c r="A54" s="642" t="s">
        <v>581</v>
      </c>
      <c r="B54" s="637">
        <v>0</v>
      </c>
      <c r="C54" s="298" t="s">
        <v>531</v>
      </c>
      <c r="D54" s="299" t="s">
        <v>532</v>
      </c>
    </row>
    <row r="55" spans="1:4" ht="15" thickBot="1">
      <c r="A55" s="643" t="s">
        <v>582</v>
      </c>
      <c r="B55" s="872">
        <v>60</v>
      </c>
      <c r="C55" s="304" t="s">
        <v>531</v>
      </c>
      <c r="D55" s="299" t="s">
        <v>532</v>
      </c>
    </row>
    <row r="56" spans="1:8" ht="15.75" thickBot="1">
      <c r="A56" s="377" t="s">
        <v>358</v>
      </c>
      <c r="B56" s="690">
        <f>SUM(B20:B55)</f>
        <v>3219</v>
      </c>
      <c r="C56" s="306"/>
      <c r="D56" s="321"/>
      <c r="H56" s="470">
        <f>B56</f>
        <v>3219</v>
      </c>
    </row>
    <row r="57" spans="1:3" ht="12" customHeight="1">
      <c r="A57" s="420"/>
      <c r="B57" s="648"/>
      <c r="C57" s="340"/>
    </row>
    <row r="58" spans="1:3" ht="16.5" thickBot="1">
      <c r="A58" s="650" t="s">
        <v>583</v>
      </c>
      <c r="B58" s="649"/>
      <c r="C58" s="340"/>
    </row>
    <row r="59" spans="1:4" ht="15">
      <c r="A59" s="635" t="s">
        <v>500</v>
      </c>
      <c r="B59" s="1028" t="s">
        <v>1218</v>
      </c>
      <c r="C59" s="294" t="s">
        <v>502</v>
      </c>
      <c r="D59" s="292" t="s">
        <v>503</v>
      </c>
    </row>
    <row r="60" spans="1:4" ht="13.5" thickBot="1">
      <c r="A60" s="381"/>
      <c r="B60" s="296" t="s">
        <v>695</v>
      </c>
      <c r="C60" s="297" t="s">
        <v>504</v>
      </c>
      <c r="D60" s="295"/>
    </row>
    <row r="61" spans="1:4" ht="14.25">
      <c r="A61" s="653" t="s">
        <v>584</v>
      </c>
      <c r="B61" s="651">
        <v>0</v>
      </c>
      <c r="C61" s="341" t="s">
        <v>585</v>
      </c>
      <c r="D61" s="342" t="s">
        <v>602</v>
      </c>
    </row>
    <row r="62" spans="1:4" ht="14.25">
      <c r="A62" s="654" t="s">
        <v>584</v>
      </c>
      <c r="B62" s="638">
        <v>0</v>
      </c>
      <c r="C62" s="343" t="s">
        <v>523</v>
      </c>
      <c r="D62" s="337" t="s">
        <v>603</v>
      </c>
    </row>
    <row r="63" spans="1:4" ht="14.25">
      <c r="A63" s="654" t="s">
        <v>584</v>
      </c>
      <c r="B63" s="638">
        <v>0</v>
      </c>
      <c r="C63" s="344" t="s">
        <v>604</v>
      </c>
      <c r="D63" s="345" t="s">
        <v>605</v>
      </c>
    </row>
    <row r="64" spans="1:4" ht="14.25">
      <c r="A64" s="654" t="s">
        <v>584</v>
      </c>
      <c r="B64" s="652">
        <v>55</v>
      </c>
      <c r="C64" s="344" t="s">
        <v>1173</v>
      </c>
      <c r="D64" s="425" t="s">
        <v>54</v>
      </c>
    </row>
    <row r="65" spans="1:7" ht="14.25">
      <c r="A65" s="654" t="s">
        <v>584</v>
      </c>
      <c r="B65" s="652">
        <v>5</v>
      </c>
      <c r="C65" s="344" t="s">
        <v>157</v>
      </c>
      <c r="D65" s="425" t="s">
        <v>169</v>
      </c>
      <c r="G65" s="104"/>
    </row>
    <row r="66" spans="1:6" ht="14.25">
      <c r="A66" s="654" t="s">
        <v>584</v>
      </c>
      <c r="B66" s="652">
        <v>60</v>
      </c>
      <c r="C66" s="298" t="s">
        <v>158</v>
      </c>
      <c r="D66" s="427" t="s">
        <v>168</v>
      </c>
      <c r="F66" s="104"/>
    </row>
    <row r="67" spans="1:6" ht="14.25">
      <c r="A67" s="654" t="s">
        <v>584</v>
      </c>
      <c r="B67" s="652">
        <v>0</v>
      </c>
      <c r="C67" s="344" t="s">
        <v>606</v>
      </c>
      <c r="D67" s="303" t="s">
        <v>607</v>
      </c>
      <c r="F67" s="470"/>
    </row>
    <row r="68" spans="1:8" ht="14.25">
      <c r="A68" s="654" t="s">
        <v>584</v>
      </c>
      <c r="B68" s="638">
        <v>0</v>
      </c>
      <c r="C68" s="344" t="s">
        <v>548</v>
      </c>
      <c r="D68" s="303" t="s">
        <v>549</v>
      </c>
      <c r="H68" s="104"/>
    </row>
    <row r="69" spans="1:4" ht="14.25">
      <c r="A69" s="654" t="s">
        <v>584</v>
      </c>
      <c r="B69" s="638">
        <v>0</v>
      </c>
      <c r="C69" s="344" t="s">
        <v>608</v>
      </c>
      <c r="D69" s="425" t="s">
        <v>289</v>
      </c>
    </row>
    <row r="70" spans="1:4" ht="14.25">
      <c r="A70" s="654" t="s">
        <v>584</v>
      </c>
      <c r="B70" s="638">
        <v>0</v>
      </c>
      <c r="C70" s="344" t="s">
        <v>609</v>
      </c>
      <c r="D70" s="425" t="s">
        <v>291</v>
      </c>
    </row>
    <row r="71" spans="1:4" ht="14.25">
      <c r="A71" s="654" t="s">
        <v>584</v>
      </c>
      <c r="B71" s="638">
        <v>0</v>
      </c>
      <c r="C71" s="344" t="s">
        <v>610</v>
      </c>
      <c r="D71" s="303" t="s">
        <v>611</v>
      </c>
    </row>
    <row r="72" spans="1:6" ht="14.25">
      <c r="A72" s="654" t="s">
        <v>584</v>
      </c>
      <c r="B72" s="638">
        <v>0</v>
      </c>
      <c r="C72" s="344" t="s">
        <v>612</v>
      </c>
      <c r="D72" s="303" t="s">
        <v>613</v>
      </c>
      <c r="F72" s="104"/>
    </row>
    <row r="73" spans="1:7" ht="14.25">
      <c r="A73" s="654" t="s">
        <v>584</v>
      </c>
      <c r="B73" s="638">
        <v>0</v>
      </c>
      <c r="C73" s="344" t="s">
        <v>546</v>
      </c>
      <c r="D73" s="336" t="s">
        <v>547</v>
      </c>
      <c r="G73" s="104"/>
    </row>
    <row r="74" spans="1:6" ht="14.25">
      <c r="A74" s="654" t="s">
        <v>584</v>
      </c>
      <c r="B74" s="638">
        <v>0</v>
      </c>
      <c r="C74" s="344" t="s">
        <v>550</v>
      </c>
      <c r="D74" s="303" t="s">
        <v>614</v>
      </c>
      <c r="F74" s="104"/>
    </row>
    <row r="75" spans="1:4" ht="14.25">
      <c r="A75" s="654" t="s">
        <v>584</v>
      </c>
      <c r="B75" s="638">
        <v>0</v>
      </c>
      <c r="C75" s="344" t="s">
        <v>615</v>
      </c>
      <c r="D75" s="347" t="s">
        <v>844</v>
      </c>
    </row>
    <row r="76" spans="1:4" ht="14.25">
      <c r="A76" s="654" t="s">
        <v>584</v>
      </c>
      <c r="B76" s="638">
        <v>0</v>
      </c>
      <c r="C76" s="344" t="s">
        <v>554</v>
      </c>
      <c r="D76" s="336" t="s">
        <v>293</v>
      </c>
    </row>
    <row r="77" spans="1:6" ht="14.25">
      <c r="A77" s="654" t="s">
        <v>584</v>
      </c>
      <c r="B77" s="638">
        <v>0</v>
      </c>
      <c r="C77" s="344" t="s">
        <v>521</v>
      </c>
      <c r="D77" s="303" t="s">
        <v>555</v>
      </c>
      <c r="F77" s="104"/>
    </row>
    <row r="78" spans="1:4" ht="14.25">
      <c r="A78" s="654" t="s">
        <v>584</v>
      </c>
      <c r="B78" s="638">
        <v>0</v>
      </c>
      <c r="C78" s="344" t="s">
        <v>556</v>
      </c>
      <c r="D78" s="337" t="s">
        <v>557</v>
      </c>
    </row>
    <row r="79" spans="1:4" ht="14.25">
      <c r="A79" s="654" t="s">
        <v>584</v>
      </c>
      <c r="B79" s="638">
        <v>0</v>
      </c>
      <c r="C79" s="344" t="s">
        <v>558</v>
      </c>
      <c r="D79" s="303" t="s">
        <v>845</v>
      </c>
    </row>
    <row r="80" spans="1:4" ht="14.25">
      <c r="A80" s="654" t="s">
        <v>584</v>
      </c>
      <c r="B80" s="638">
        <v>0</v>
      </c>
      <c r="C80" s="298" t="s">
        <v>576</v>
      </c>
      <c r="D80" s="299" t="s">
        <v>846</v>
      </c>
    </row>
    <row r="81" spans="1:4" ht="14.25">
      <c r="A81" s="654" t="s">
        <v>584</v>
      </c>
      <c r="B81" s="638">
        <v>0</v>
      </c>
      <c r="C81" s="298" t="s">
        <v>847</v>
      </c>
      <c r="D81" s="299" t="s">
        <v>848</v>
      </c>
    </row>
    <row r="82" spans="1:4" ht="14.25">
      <c r="A82" s="654" t="s">
        <v>584</v>
      </c>
      <c r="B82" s="638">
        <v>0</v>
      </c>
      <c r="C82" s="298" t="s">
        <v>560</v>
      </c>
      <c r="D82" s="299" t="s">
        <v>561</v>
      </c>
    </row>
    <row r="83" spans="1:6" ht="14.25">
      <c r="A83" s="654" t="s">
        <v>584</v>
      </c>
      <c r="B83" s="638">
        <v>0</v>
      </c>
      <c r="C83" s="298" t="s">
        <v>847</v>
      </c>
      <c r="D83" s="299" t="s">
        <v>849</v>
      </c>
      <c r="F83" s="104"/>
    </row>
    <row r="84" spans="1:4" ht="14.25">
      <c r="A84" s="654" t="s">
        <v>584</v>
      </c>
      <c r="B84" s="638">
        <v>0</v>
      </c>
      <c r="C84" s="344" t="s">
        <v>526</v>
      </c>
      <c r="D84" s="303" t="s">
        <v>850</v>
      </c>
    </row>
    <row r="85" spans="1:4" ht="14.25">
      <c r="A85" s="654" t="s">
        <v>584</v>
      </c>
      <c r="B85" s="638">
        <v>0</v>
      </c>
      <c r="C85" s="344" t="s">
        <v>516</v>
      </c>
      <c r="D85" s="425" t="s">
        <v>297</v>
      </c>
    </row>
    <row r="86" spans="1:4" ht="14.25">
      <c r="A86" s="654" t="s">
        <v>584</v>
      </c>
      <c r="B86" s="638">
        <v>0</v>
      </c>
      <c r="C86" s="298" t="s">
        <v>851</v>
      </c>
      <c r="D86" s="427" t="s">
        <v>165</v>
      </c>
    </row>
    <row r="87" spans="1:4" ht="14.25">
      <c r="A87" s="654" t="s">
        <v>584</v>
      </c>
      <c r="B87" s="638">
        <v>0</v>
      </c>
      <c r="C87" s="344" t="s">
        <v>852</v>
      </c>
      <c r="D87" s="425" t="s">
        <v>166</v>
      </c>
    </row>
    <row r="88" spans="1:4" ht="14.25">
      <c r="A88" s="654" t="s">
        <v>584</v>
      </c>
      <c r="B88" s="638">
        <v>0</v>
      </c>
      <c r="C88" s="298" t="s">
        <v>853</v>
      </c>
      <c r="D88" s="303" t="s">
        <v>854</v>
      </c>
    </row>
    <row r="89" spans="1:4" ht="14.25">
      <c r="A89" s="654" t="s">
        <v>584</v>
      </c>
      <c r="B89" s="652">
        <v>60</v>
      </c>
      <c r="C89" s="298" t="s">
        <v>564</v>
      </c>
      <c r="D89" s="425" t="s">
        <v>58</v>
      </c>
    </row>
    <row r="90" spans="1:6" ht="14.25">
      <c r="A90" s="654" t="s">
        <v>584</v>
      </c>
      <c r="B90" s="652">
        <v>0</v>
      </c>
      <c r="C90" s="298" t="s">
        <v>562</v>
      </c>
      <c r="D90" s="299" t="s">
        <v>855</v>
      </c>
      <c r="F90" s="104"/>
    </row>
    <row r="91" spans="1:6" ht="14.25">
      <c r="A91" s="654" t="s">
        <v>856</v>
      </c>
      <c r="B91" s="652">
        <v>0</v>
      </c>
      <c r="C91" s="298" t="s">
        <v>604</v>
      </c>
      <c r="D91" s="299" t="s">
        <v>857</v>
      </c>
      <c r="F91" s="104">
        <f>SUM(B61:B91)</f>
        <v>180</v>
      </c>
    </row>
    <row r="92" spans="1:4" ht="14.25">
      <c r="A92" s="654" t="s">
        <v>858</v>
      </c>
      <c r="B92" s="652">
        <v>0</v>
      </c>
      <c r="C92" s="298" t="s">
        <v>548</v>
      </c>
      <c r="D92" s="303" t="s">
        <v>549</v>
      </c>
    </row>
    <row r="93" spans="1:8" ht="14.25">
      <c r="A93" s="654" t="s">
        <v>858</v>
      </c>
      <c r="B93" s="652">
        <v>0</v>
      </c>
      <c r="C93" s="298" t="s">
        <v>609</v>
      </c>
      <c r="D93" s="427" t="s">
        <v>291</v>
      </c>
      <c r="H93" s="104"/>
    </row>
    <row r="94" spans="1:4" ht="14.25">
      <c r="A94" s="654" t="s">
        <v>858</v>
      </c>
      <c r="B94" s="652">
        <v>0</v>
      </c>
      <c r="C94" s="298" t="s">
        <v>158</v>
      </c>
      <c r="D94" s="427" t="s">
        <v>168</v>
      </c>
    </row>
    <row r="95" spans="1:4" ht="14.25">
      <c r="A95" s="654" t="s">
        <v>859</v>
      </c>
      <c r="B95" s="652">
        <v>0</v>
      </c>
      <c r="C95" s="344" t="s">
        <v>556</v>
      </c>
      <c r="D95" s="335" t="s">
        <v>557</v>
      </c>
    </row>
    <row r="96" spans="1:4" ht="14.25">
      <c r="A96" s="655" t="s">
        <v>388</v>
      </c>
      <c r="B96" s="652">
        <v>0</v>
      </c>
      <c r="C96" s="298" t="s">
        <v>860</v>
      </c>
      <c r="D96" s="348" t="s">
        <v>861</v>
      </c>
    </row>
    <row r="97" spans="1:4" ht="14.25">
      <c r="A97" s="654" t="s">
        <v>862</v>
      </c>
      <c r="B97" s="637">
        <f>120+15</f>
        <v>135</v>
      </c>
      <c r="C97" s="298" t="s">
        <v>550</v>
      </c>
      <c r="D97" s="299" t="s">
        <v>614</v>
      </c>
    </row>
    <row r="98" spans="1:4" ht="14.25">
      <c r="A98" s="654" t="s">
        <v>863</v>
      </c>
      <c r="B98" s="652">
        <v>0</v>
      </c>
      <c r="C98" s="298" t="s">
        <v>864</v>
      </c>
      <c r="D98" s="299" t="s">
        <v>865</v>
      </c>
    </row>
    <row r="99" spans="1:4" ht="14.25">
      <c r="A99" s="654" t="s">
        <v>863</v>
      </c>
      <c r="B99" s="652">
        <v>0</v>
      </c>
      <c r="C99" s="298" t="s">
        <v>1173</v>
      </c>
      <c r="D99" s="427" t="s">
        <v>54</v>
      </c>
    </row>
    <row r="100" spans="1:4" ht="14.25">
      <c r="A100" s="654" t="s">
        <v>863</v>
      </c>
      <c r="B100" s="652">
        <v>0</v>
      </c>
      <c r="C100" s="298" t="s">
        <v>609</v>
      </c>
      <c r="D100" s="427" t="s">
        <v>291</v>
      </c>
    </row>
    <row r="101" spans="1:6" ht="14.25">
      <c r="A101" s="654" t="s">
        <v>863</v>
      </c>
      <c r="B101" s="652">
        <v>183</v>
      </c>
      <c r="C101" s="344" t="s">
        <v>610</v>
      </c>
      <c r="D101" s="303" t="s">
        <v>611</v>
      </c>
      <c r="F101" s="104"/>
    </row>
    <row r="102" spans="1:4" ht="14.25">
      <c r="A102" s="654" t="s">
        <v>863</v>
      </c>
      <c r="B102" s="637">
        <v>385</v>
      </c>
      <c r="C102" s="344" t="s">
        <v>612</v>
      </c>
      <c r="D102" s="303" t="s">
        <v>613</v>
      </c>
    </row>
    <row r="103" spans="1:7" ht="14.25">
      <c r="A103" s="654" t="s">
        <v>863</v>
      </c>
      <c r="B103" s="637">
        <v>804</v>
      </c>
      <c r="C103" s="344" t="s">
        <v>546</v>
      </c>
      <c r="D103" s="336" t="s">
        <v>547</v>
      </c>
      <c r="F103" s="104"/>
      <c r="G103" s="104"/>
    </row>
    <row r="104" spans="1:4" ht="14.25">
      <c r="A104" s="654" t="s">
        <v>863</v>
      </c>
      <c r="B104" s="652">
        <v>1764</v>
      </c>
      <c r="C104" s="344" t="s">
        <v>554</v>
      </c>
      <c r="D104" s="336" t="s">
        <v>293</v>
      </c>
    </row>
    <row r="105" spans="1:7" ht="14.25">
      <c r="A105" s="654" t="s">
        <v>863</v>
      </c>
      <c r="B105" s="652">
        <v>662</v>
      </c>
      <c r="C105" s="298" t="s">
        <v>521</v>
      </c>
      <c r="D105" s="299" t="s">
        <v>555</v>
      </c>
      <c r="F105" s="104"/>
      <c r="G105" s="104"/>
    </row>
    <row r="106" spans="1:6" ht="14.25">
      <c r="A106" s="654" t="s">
        <v>863</v>
      </c>
      <c r="B106" s="652">
        <v>229</v>
      </c>
      <c r="C106" s="298" t="s">
        <v>556</v>
      </c>
      <c r="D106" s="335" t="s">
        <v>557</v>
      </c>
      <c r="F106" s="104"/>
    </row>
    <row r="107" spans="1:6" ht="14.25">
      <c r="A107" s="654" t="s">
        <v>863</v>
      </c>
      <c r="B107" s="652">
        <v>30</v>
      </c>
      <c r="C107" s="344" t="s">
        <v>847</v>
      </c>
      <c r="D107" s="303" t="s">
        <v>866</v>
      </c>
      <c r="F107" s="104"/>
    </row>
    <row r="108" spans="1:4" ht="14.25">
      <c r="A108" s="654" t="s">
        <v>863</v>
      </c>
      <c r="B108" s="652">
        <v>802</v>
      </c>
      <c r="C108" s="344" t="s">
        <v>526</v>
      </c>
      <c r="D108" s="303" t="s">
        <v>850</v>
      </c>
    </row>
    <row r="109" spans="1:6" ht="14.25">
      <c r="A109" s="654" t="s">
        <v>863</v>
      </c>
      <c r="B109" s="638">
        <v>0</v>
      </c>
      <c r="C109" s="344" t="s">
        <v>516</v>
      </c>
      <c r="D109" s="425" t="s">
        <v>297</v>
      </c>
      <c r="F109" s="104"/>
    </row>
    <row r="110" spans="1:6" ht="14.25">
      <c r="A110" s="654" t="s">
        <v>863</v>
      </c>
      <c r="B110" s="638">
        <v>0</v>
      </c>
      <c r="C110" s="344" t="s">
        <v>851</v>
      </c>
      <c r="D110" s="425" t="s">
        <v>165</v>
      </c>
      <c r="F110" s="104"/>
    </row>
    <row r="111" spans="1:4" ht="14.25">
      <c r="A111" s="654" t="s">
        <v>863</v>
      </c>
      <c r="B111" s="638">
        <v>0</v>
      </c>
      <c r="C111" s="344" t="s">
        <v>852</v>
      </c>
      <c r="D111" s="425" t="s">
        <v>166</v>
      </c>
    </row>
    <row r="112" spans="1:6" ht="14.25">
      <c r="A112" s="654" t="s">
        <v>863</v>
      </c>
      <c r="B112" s="652">
        <v>1012</v>
      </c>
      <c r="C112" s="344" t="s">
        <v>564</v>
      </c>
      <c r="D112" s="425" t="s">
        <v>58</v>
      </c>
      <c r="F112" s="430">
        <f>SUM(B98:B112)</f>
        <v>5871</v>
      </c>
    </row>
    <row r="113" spans="1:4" ht="14.25">
      <c r="A113" s="654" t="s">
        <v>867</v>
      </c>
      <c r="B113" s="652">
        <v>36</v>
      </c>
      <c r="C113" s="344" t="s">
        <v>548</v>
      </c>
      <c r="D113" s="303" t="s">
        <v>549</v>
      </c>
    </row>
    <row r="114" spans="1:6" ht="14.25">
      <c r="A114" s="654" t="s">
        <v>867</v>
      </c>
      <c r="B114" s="652">
        <v>115</v>
      </c>
      <c r="C114" s="344" t="s">
        <v>548</v>
      </c>
      <c r="D114" s="303" t="s">
        <v>549</v>
      </c>
      <c r="E114" s="104"/>
      <c r="F114" s="104"/>
    </row>
    <row r="115" spans="1:6" ht="14.25">
      <c r="A115" s="654" t="s">
        <v>867</v>
      </c>
      <c r="B115" s="652">
        <v>20</v>
      </c>
      <c r="C115" s="344" t="s">
        <v>554</v>
      </c>
      <c r="D115" s="336" t="s">
        <v>293</v>
      </c>
      <c r="F115" s="104"/>
    </row>
    <row r="116" spans="1:6" ht="14.25">
      <c r="A116" s="654" t="s">
        <v>867</v>
      </c>
      <c r="B116" s="637">
        <v>86</v>
      </c>
      <c r="C116" s="344" t="s">
        <v>556</v>
      </c>
      <c r="D116" s="337" t="s">
        <v>557</v>
      </c>
      <c r="F116" s="104"/>
    </row>
    <row r="117" spans="1:6" ht="14.25">
      <c r="A117" s="655" t="s">
        <v>867</v>
      </c>
      <c r="B117" s="637">
        <v>2</v>
      </c>
      <c r="C117" s="344" t="s">
        <v>884</v>
      </c>
      <c r="D117" s="337" t="s">
        <v>885</v>
      </c>
      <c r="F117" s="681">
        <f>SUM(B113:B117)</f>
        <v>259</v>
      </c>
    </row>
    <row r="118" spans="1:4" ht="14.25">
      <c r="A118" s="655" t="s">
        <v>1165</v>
      </c>
      <c r="B118" s="637">
        <v>0</v>
      </c>
      <c r="C118" s="344" t="s">
        <v>541</v>
      </c>
      <c r="D118" s="303" t="s">
        <v>868</v>
      </c>
    </row>
    <row r="119" spans="1:6" ht="14.25">
      <c r="A119" s="655" t="s">
        <v>1165</v>
      </c>
      <c r="B119" s="636">
        <v>7</v>
      </c>
      <c r="C119" s="344" t="s">
        <v>548</v>
      </c>
      <c r="D119" s="303" t="s">
        <v>549</v>
      </c>
      <c r="F119" s="104"/>
    </row>
    <row r="120" spans="1:6" ht="14.25">
      <c r="A120" s="655" t="s">
        <v>1165</v>
      </c>
      <c r="B120" s="636">
        <v>0</v>
      </c>
      <c r="C120" s="298" t="s">
        <v>608</v>
      </c>
      <c r="D120" s="427" t="s">
        <v>289</v>
      </c>
      <c r="F120" s="104"/>
    </row>
    <row r="121" spans="1:6" ht="14.25">
      <c r="A121" s="655" t="s">
        <v>1165</v>
      </c>
      <c r="B121" s="636">
        <v>0</v>
      </c>
      <c r="C121" s="298" t="s">
        <v>546</v>
      </c>
      <c r="D121" s="427" t="s">
        <v>547</v>
      </c>
      <c r="F121" s="104"/>
    </row>
    <row r="122" spans="1:7" ht="14.25">
      <c r="A122" s="655" t="s">
        <v>1165</v>
      </c>
      <c r="B122" s="636">
        <v>0</v>
      </c>
      <c r="C122" s="298" t="s">
        <v>550</v>
      </c>
      <c r="D122" s="299" t="s">
        <v>614</v>
      </c>
      <c r="G122" s="104"/>
    </row>
    <row r="123" spans="1:7" ht="14.25">
      <c r="A123" s="655" t="s">
        <v>1165</v>
      </c>
      <c r="B123" s="636">
        <v>0</v>
      </c>
      <c r="C123" s="298" t="s">
        <v>552</v>
      </c>
      <c r="D123" s="427" t="s">
        <v>1016</v>
      </c>
      <c r="G123" s="104"/>
    </row>
    <row r="124" spans="1:7" ht="14.25">
      <c r="A124" s="655" t="s">
        <v>1165</v>
      </c>
      <c r="B124" s="636">
        <v>0</v>
      </c>
      <c r="C124" s="298" t="s">
        <v>554</v>
      </c>
      <c r="D124" s="336" t="s">
        <v>293</v>
      </c>
      <c r="G124" s="104"/>
    </row>
    <row r="125" spans="1:6" ht="14.25">
      <c r="A125" s="655" t="s">
        <v>1165</v>
      </c>
      <c r="B125" s="636">
        <v>0</v>
      </c>
      <c r="C125" s="298" t="s">
        <v>521</v>
      </c>
      <c r="D125" s="299" t="s">
        <v>555</v>
      </c>
      <c r="F125" s="104"/>
    </row>
    <row r="126" spans="1:4" ht="14.25">
      <c r="A126" s="655" t="s">
        <v>1165</v>
      </c>
      <c r="B126" s="636">
        <v>0</v>
      </c>
      <c r="C126" s="298" t="s">
        <v>556</v>
      </c>
      <c r="D126" s="299" t="s">
        <v>557</v>
      </c>
    </row>
    <row r="127" spans="1:6" ht="14.25">
      <c r="A127" s="655" t="s">
        <v>1165</v>
      </c>
      <c r="B127" s="637">
        <v>25</v>
      </c>
      <c r="C127" s="298" t="s">
        <v>576</v>
      </c>
      <c r="D127" s="299" t="s">
        <v>846</v>
      </c>
      <c r="F127" s="104"/>
    </row>
    <row r="128" spans="1:6" ht="14.25">
      <c r="A128" s="655" t="s">
        <v>1165</v>
      </c>
      <c r="B128" s="636">
        <v>0</v>
      </c>
      <c r="C128" s="298" t="s">
        <v>869</v>
      </c>
      <c r="D128" s="299" t="s">
        <v>870</v>
      </c>
      <c r="F128" s="104"/>
    </row>
    <row r="129" spans="1:6" ht="14.25">
      <c r="A129" s="655" t="s">
        <v>1165</v>
      </c>
      <c r="B129" s="636">
        <v>0</v>
      </c>
      <c r="C129" s="298" t="s">
        <v>531</v>
      </c>
      <c r="D129" s="299" t="s">
        <v>871</v>
      </c>
      <c r="F129" s="681">
        <f>SUM(B118:B128)</f>
        <v>32</v>
      </c>
    </row>
    <row r="130" spans="1:6" ht="14.25">
      <c r="A130" s="654" t="s">
        <v>872</v>
      </c>
      <c r="B130" s="636">
        <v>0</v>
      </c>
      <c r="C130" s="298" t="s">
        <v>606</v>
      </c>
      <c r="D130" s="299" t="s">
        <v>607</v>
      </c>
      <c r="F130" s="104"/>
    </row>
    <row r="131" spans="1:8" ht="14.25">
      <c r="A131" s="654" t="s">
        <v>872</v>
      </c>
      <c r="B131" s="636">
        <v>0</v>
      </c>
      <c r="C131" s="298" t="s">
        <v>548</v>
      </c>
      <c r="D131" s="303" t="s">
        <v>549</v>
      </c>
      <c r="H131" s="104"/>
    </row>
    <row r="132" spans="1:4" ht="14.25">
      <c r="A132" s="654" t="s">
        <v>872</v>
      </c>
      <c r="B132" s="636">
        <v>0</v>
      </c>
      <c r="C132" s="298" t="s">
        <v>608</v>
      </c>
      <c r="D132" s="427" t="s">
        <v>289</v>
      </c>
    </row>
    <row r="133" spans="1:4" ht="14.25">
      <c r="A133" s="654" t="s">
        <v>872</v>
      </c>
      <c r="B133" s="636">
        <v>0</v>
      </c>
      <c r="C133" s="298" t="s">
        <v>554</v>
      </c>
      <c r="D133" s="336" t="s">
        <v>293</v>
      </c>
    </row>
    <row r="134" spans="1:4" ht="14.25">
      <c r="A134" s="654" t="s">
        <v>872</v>
      </c>
      <c r="B134" s="636">
        <v>0</v>
      </c>
      <c r="C134" s="298" t="s">
        <v>558</v>
      </c>
      <c r="D134" s="299" t="s">
        <v>845</v>
      </c>
    </row>
    <row r="135" spans="1:4" ht="14.25">
      <c r="A135" s="654" t="s">
        <v>873</v>
      </c>
      <c r="B135" s="636">
        <v>0</v>
      </c>
      <c r="C135" s="298" t="s">
        <v>608</v>
      </c>
      <c r="D135" s="427" t="s">
        <v>289</v>
      </c>
    </row>
    <row r="136" spans="1:6" ht="14.25">
      <c r="A136" s="654" t="s">
        <v>873</v>
      </c>
      <c r="B136" s="636">
        <v>0</v>
      </c>
      <c r="C136" s="344" t="s">
        <v>609</v>
      </c>
      <c r="D136" s="427" t="s">
        <v>291</v>
      </c>
      <c r="F136" s="104"/>
    </row>
    <row r="137" spans="1:6" ht="14.25">
      <c r="A137" s="655" t="s">
        <v>873</v>
      </c>
      <c r="B137" s="636">
        <v>0</v>
      </c>
      <c r="C137" s="344" t="s">
        <v>554</v>
      </c>
      <c r="D137" s="336" t="s">
        <v>293</v>
      </c>
      <c r="F137" s="104"/>
    </row>
    <row r="138" spans="1:6" ht="14.25">
      <c r="A138" s="654" t="s">
        <v>873</v>
      </c>
      <c r="B138" s="636">
        <v>0</v>
      </c>
      <c r="C138" s="689" t="s">
        <v>558</v>
      </c>
      <c r="D138" s="317" t="s">
        <v>845</v>
      </c>
      <c r="F138" s="104">
        <f>SUM(B135:B138)</f>
        <v>0</v>
      </c>
    </row>
    <row r="139" spans="1:4" ht="14.25">
      <c r="A139" s="654" t="s">
        <v>874</v>
      </c>
      <c r="B139" s="636">
        <v>0</v>
      </c>
      <c r="C139" s="344" t="s">
        <v>541</v>
      </c>
      <c r="D139" s="303" t="s">
        <v>868</v>
      </c>
    </row>
    <row r="140" spans="1:4" ht="14.25">
      <c r="A140" s="654" t="s">
        <v>874</v>
      </c>
      <c r="B140" s="637">
        <v>10</v>
      </c>
      <c r="C140" s="344" t="s">
        <v>1173</v>
      </c>
      <c r="D140" s="425" t="s">
        <v>54</v>
      </c>
    </row>
    <row r="141" spans="1:4" ht="14.25">
      <c r="A141" s="655" t="s">
        <v>874</v>
      </c>
      <c r="B141" s="636">
        <v>0</v>
      </c>
      <c r="C141" s="344" t="s">
        <v>157</v>
      </c>
      <c r="D141" s="425" t="s">
        <v>169</v>
      </c>
    </row>
    <row r="142" spans="1:4" ht="14.25">
      <c r="A142" s="655" t="s">
        <v>513</v>
      </c>
      <c r="B142" s="636">
        <v>0</v>
      </c>
      <c r="C142" s="344" t="s">
        <v>158</v>
      </c>
      <c r="D142" s="425" t="s">
        <v>168</v>
      </c>
    </row>
    <row r="143" spans="1:6" ht="14.25">
      <c r="A143" s="654" t="s">
        <v>874</v>
      </c>
      <c r="B143" s="637">
        <v>30</v>
      </c>
      <c r="C143" s="344" t="s">
        <v>548</v>
      </c>
      <c r="D143" s="303" t="s">
        <v>549</v>
      </c>
      <c r="F143" s="104"/>
    </row>
    <row r="144" spans="1:6" ht="14.25">
      <c r="A144" s="654" t="s">
        <v>874</v>
      </c>
      <c r="B144" s="636">
        <v>0</v>
      </c>
      <c r="C144" s="298" t="s">
        <v>608</v>
      </c>
      <c r="D144" s="427" t="s">
        <v>289</v>
      </c>
      <c r="F144" s="104"/>
    </row>
    <row r="145" spans="1:6" ht="14.25">
      <c r="A145" s="654" t="s">
        <v>874</v>
      </c>
      <c r="B145" s="652">
        <f>12+13</f>
        <v>25</v>
      </c>
      <c r="C145" s="298" t="s">
        <v>609</v>
      </c>
      <c r="D145" s="427" t="s">
        <v>291</v>
      </c>
      <c r="F145" s="430"/>
    </row>
    <row r="146" spans="1:6" ht="14.25">
      <c r="A146" s="654" t="s">
        <v>874</v>
      </c>
      <c r="B146" s="652">
        <v>38</v>
      </c>
      <c r="C146" s="449" t="s">
        <v>610</v>
      </c>
      <c r="D146" s="303" t="s">
        <v>611</v>
      </c>
      <c r="F146" s="104"/>
    </row>
    <row r="147" spans="1:6" ht="14.25">
      <c r="A147" s="654" t="s">
        <v>874</v>
      </c>
      <c r="B147" s="652">
        <v>305</v>
      </c>
      <c r="C147" s="449" t="s">
        <v>612</v>
      </c>
      <c r="D147" s="303" t="s">
        <v>613</v>
      </c>
      <c r="F147" s="104"/>
    </row>
    <row r="148" spans="1:6" ht="14.25">
      <c r="A148" s="654" t="s">
        <v>874</v>
      </c>
      <c r="B148" s="652">
        <v>84</v>
      </c>
      <c r="C148" s="449" t="s">
        <v>546</v>
      </c>
      <c r="D148" s="336" t="s">
        <v>547</v>
      </c>
      <c r="F148" s="104"/>
    </row>
    <row r="149" spans="1:6" ht="14.25">
      <c r="A149" s="654" t="s">
        <v>874</v>
      </c>
      <c r="B149" s="652">
        <v>0</v>
      </c>
      <c r="C149" s="449" t="s">
        <v>550</v>
      </c>
      <c r="D149" s="336" t="s">
        <v>614</v>
      </c>
      <c r="F149" s="104"/>
    </row>
    <row r="150" spans="1:6" ht="14.25">
      <c r="A150" s="654" t="s">
        <v>874</v>
      </c>
      <c r="B150" s="652">
        <v>0</v>
      </c>
      <c r="C150" s="449" t="s">
        <v>936</v>
      </c>
      <c r="D150" s="336" t="s">
        <v>57</v>
      </c>
      <c r="F150" s="104"/>
    </row>
    <row r="151" spans="1:6" ht="14.25">
      <c r="A151" s="654" t="s">
        <v>874</v>
      </c>
      <c r="B151" s="652">
        <v>0</v>
      </c>
      <c r="C151" s="449" t="s">
        <v>875</v>
      </c>
      <c r="D151" s="336" t="s">
        <v>876</v>
      </c>
      <c r="F151" s="104"/>
    </row>
    <row r="152" spans="1:7" ht="14.25">
      <c r="A152" s="654" t="s">
        <v>874</v>
      </c>
      <c r="B152" s="652">
        <v>665</v>
      </c>
      <c r="C152" s="449" t="s">
        <v>554</v>
      </c>
      <c r="D152" s="336" t="s">
        <v>293</v>
      </c>
      <c r="F152" s="104"/>
      <c r="G152" s="104"/>
    </row>
    <row r="153" spans="1:4" ht="14.25">
      <c r="A153" s="654" t="s">
        <v>874</v>
      </c>
      <c r="B153" s="652">
        <v>532</v>
      </c>
      <c r="C153" s="449" t="s">
        <v>521</v>
      </c>
      <c r="D153" s="303" t="s">
        <v>555</v>
      </c>
    </row>
    <row r="154" spans="1:8" ht="14.25">
      <c r="A154" s="654" t="s">
        <v>874</v>
      </c>
      <c r="B154" s="637">
        <v>569</v>
      </c>
      <c r="C154" s="449" t="s">
        <v>556</v>
      </c>
      <c r="D154" s="337" t="s">
        <v>557</v>
      </c>
      <c r="F154" s="104"/>
      <c r="H154" s="104"/>
    </row>
    <row r="155" spans="1:4" ht="14.25">
      <c r="A155" s="654" t="s">
        <v>874</v>
      </c>
      <c r="B155" s="652">
        <v>947</v>
      </c>
      <c r="C155" s="673" t="s">
        <v>564</v>
      </c>
      <c r="D155" s="425" t="s">
        <v>58</v>
      </c>
    </row>
    <row r="156" spans="1:8" ht="14.25">
      <c r="A156" s="654" t="s">
        <v>874</v>
      </c>
      <c r="B156" s="652">
        <v>0</v>
      </c>
      <c r="C156" s="673" t="s">
        <v>558</v>
      </c>
      <c r="D156" s="303" t="s">
        <v>845</v>
      </c>
      <c r="H156" s="104"/>
    </row>
    <row r="157" spans="1:6" ht="14.25">
      <c r="A157" s="654" t="s">
        <v>874</v>
      </c>
      <c r="B157" s="652">
        <v>400</v>
      </c>
      <c r="C157" s="673" t="s">
        <v>576</v>
      </c>
      <c r="D157" s="303" t="s">
        <v>846</v>
      </c>
      <c r="F157" s="104"/>
    </row>
    <row r="158" spans="1:6" ht="14.25">
      <c r="A158" s="654" t="s">
        <v>874</v>
      </c>
      <c r="B158" s="652">
        <f>13+6</f>
        <v>19</v>
      </c>
      <c r="C158" s="298" t="s">
        <v>847</v>
      </c>
      <c r="D158" s="303" t="s">
        <v>848</v>
      </c>
      <c r="F158" s="104"/>
    </row>
    <row r="159" spans="1:6" ht="14.25">
      <c r="A159" s="654" t="s">
        <v>874</v>
      </c>
      <c r="B159" s="652">
        <v>0</v>
      </c>
      <c r="C159" s="298" t="s">
        <v>560</v>
      </c>
      <c r="D159" s="303" t="s">
        <v>561</v>
      </c>
      <c r="F159" s="681"/>
    </row>
    <row r="160" spans="1:6" ht="14.25">
      <c r="A160" s="654" t="s">
        <v>874</v>
      </c>
      <c r="B160" s="652">
        <v>0</v>
      </c>
      <c r="C160" s="298" t="s">
        <v>852</v>
      </c>
      <c r="D160" s="425" t="s">
        <v>166</v>
      </c>
      <c r="F160" s="681"/>
    </row>
    <row r="161" spans="1:6" ht="14.25">
      <c r="A161" s="654" t="s">
        <v>874</v>
      </c>
      <c r="B161" s="652">
        <v>0</v>
      </c>
      <c r="C161" s="298" t="s">
        <v>853</v>
      </c>
      <c r="D161" s="427" t="s">
        <v>483</v>
      </c>
      <c r="F161" s="681"/>
    </row>
    <row r="162" spans="1:7" ht="14.25">
      <c r="A162" s="655" t="s">
        <v>874</v>
      </c>
      <c r="B162" s="638">
        <v>0</v>
      </c>
      <c r="C162" s="298" t="s">
        <v>562</v>
      </c>
      <c r="D162" s="425" t="s">
        <v>855</v>
      </c>
      <c r="F162" s="104">
        <f>SUM(B139:B162)</f>
        <v>3624</v>
      </c>
      <c r="G162" s="104"/>
    </row>
    <row r="163" spans="1:4" ht="14.25">
      <c r="A163" s="655" t="s">
        <v>354</v>
      </c>
      <c r="B163" s="638">
        <v>0</v>
      </c>
      <c r="C163" s="298" t="s">
        <v>564</v>
      </c>
      <c r="D163" s="425" t="s">
        <v>58</v>
      </c>
    </row>
    <row r="164" spans="1:4" ht="14.25">
      <c r="A164" s="655" t="s">
        <v>354</v>
      </c>
      <c r="B164" s="638">
        <v>0</v>
      </c>
      <c r="C164" s="298" t="s">
        <v>158</v>
      </c>
      <c r="D164" s="427" t="s">
        <v>168</v>
      </c>
    </row>
    <row r="165" spans="1:4" ht="14.25">
      <c r="A165" s="655" t="s">
        <v>354</v>
      </c>
      <c r="B165" s="652">
        <v>0</v>
      </c>
      <c r="C165" s="298" t="s">
        <v>548</v>
      </c>
      <c r="D165" s="303" t="s">
        <v>549</v>
      </c>
    </row>
    <row r="166" spans="1:4" ht="14.25">
      <c r="A166" s="655" t="s">
        <v>354</v>
      </c>
      <c r="B166" s="638">
        <v>0</v>
      </c>
      <c r="C166" s="298" t="s">
        <v>608</v>
      </c>
      <c r="D166" s="427" t="s">
        <v>289</v>
      </c>
    </row>
    <row r="167" spans="1:4" ht="14.25">
      <c r="A167" s="655" t="s">
        <v>354</v>
      </c>
      <c r="B167" s="638">
        <v>0</v>
      </c>
      <c r="C167" s="298" t="s">
        <v>609</v>
      </c>
      <c r="D167" s="427" t="s">
        <v>291</v>
      </c>
    </row>
    <row r="168" spans="1:4" ht="14.25">
      <c r="A168" s="655" t="s">
        <v>354</v>
      </c>
      <c r="B168" s="638">
        <v>0</v>
      </c>
      <c r="C168" s="298" t="s">
        <v>550</v>
      </c>
      <c r="D168" s="427" t="s">
        <v>614</v>
      </c>
    </row>
    <row r="169" spans="1:4" ht="14.25">
      <c r="A169" s="655" t="s">
        <v>354</v>
      </c>
      <c r="B169" s="638">
        <v>0</v>
      </c>
      <c r="C169" s="298" t="s">
        <v>576</v>
      </c>
      <c r="D169" s="427" t="s">
        <v>846</v>
      </c>
    </row>
    <row r="170" spans="1:4" ht="14.25">
      <c r="A170" s="655" t="s">
        <v>354</v>
      </c>
      <c r="B170" s="638">
        <v>0</v>
      </c>
      <c r="C170" s="298" t="s">
        <v>516</v>
      </c>
      <c r="D170" s="425" t="s">
        <v>297</v>
      </c>
    </row>
    <row r="171" spans="1:4" ht="14.25">
      <c r="A171" s="656">
        <v>2329</v>
      </c>
      <c r="B171" s="652">
        <v>0</v>
      </c>
      <c r="C171" s="673" t="s">
        <v>510</v>
      </c>
      <c r="D171" s="480" t="s">
        <v>1188</v>
      </c>
    </row>
    <row r="172" spans="1:4" ht="14.25">
      <c r="A172" s="656">
        <v>2329</v>
      </c>
      <c r="B172" s="652">
        <v>2656</v>
      </c>
      <c r="C172" s="673" t="s">
        <v>1251</v>
      </c>
      <c r="D172" s="480" t="s">
        <v>1252</v>
      </c>
    </row>
    <row r="173" spans="1:4" ht="14.25">
      <c r="A173" s="654" t="s">
        <v>877</v>
      </c>
      <c r="B173" s="638">
        <v>0</v>
      </c>
      <c r="C173" s="298" t="s">
        <v>585</v>
      </c>
      <c r="D173" s="299" t="s">
        <v>602</v>
      </c>
    </row>
    <row r="174" spans="1:6" ht="14.25">
      <c r="A174" s="654" t="s">
        <v>877</v>
      </c>
      <c r="B174" s="638">
        <v>0</v>
      </c>
      <c r="C174" s="298" t="s">
        <v>1173</v>
      </c>
      <c r="D174" s="427" t="s">
        <v>54</v>
      </c>
      <c r="F174" s="104"/>
    </row>
    <row r="175" spans="1:4" ht="14.25">
      <c r="A175" s="654" t="s">
        <v>877</v>
      </c>
      <c r="B175" s="638">
        <v>0</v>
      </c>
      <c r="C175" s="344" t="s">
        <v>157</v>
      </c>
      <c r="D175" s="425" t="s">
        <v>169</v>
      </c>
    </row>
    <row r="176" spans="1:4" ht="14.25">
      <c r="A176" s="654" t="s">
        <v>877</v>
      </c>
      <c r="B176" s="652">
        <v>60</v>
      </c>
      <c r="C176" s="344" t="s">
        <v>476</v>
      </c>
      <c r="D176" s="427" t="s">
        <v>477</v>
      </c>
    </row>
    <row r="177" spans="1:4" ht="14.25">
      <c r="A177" s="654" t="s">
        <v>877</v>
      </c>
      <c r="B177" s="652">
        <v>0</v>
      </c>
      <c r="C177" s="344" t="s">
        <v>606</v>
      </c>
      <c r="D177" s="427" t="s">
        <v>607</v>
      </c>
    </row>
    <row r="178" spans="1:4" ht="14.25">
      <c r="A178" s="654" t="s">
        <v>877</v>
      </c>
      <c r="B178" s="638">
        <v>0</v>
      </c>
      <c r="C178" s="344" t="s">
        <v>609</v>
      </c>
      <c r="D178" s="427" t="s">
        <v>291</v>
      </c>
    </row>
    <row r="179" spans="1:4" ht="14.25">
      <c r="A179" s="654" t="s">
        <v>877</v>
      </c>
      <c r="B179" s="638">
        <v>0</v>
      </c>
      <c r="C179" s="344" t="s">
        <v>548</v>
      </c>
      <c r="D179" s="303" t="s">
        <v>549</v>
      </c>
    </row>
    <row r="180" spans="1:4" ht="14.25">
      <c r="A180" s="654" t="s">
        <v>877</v>
      </c>
      <c r="B180" s="638">
        <v>18</v>
      </c>
      <c r="C180" s="298" t="s">
        <v>878</v>
      </c>
      <c r="D180" s="427" t="s">
        <v>289</v>
      </c>
    </row>
    <row r="181" spans="1:4" ht="14.25">
      <c r="A181" s="655" t="s">
        <v>877</v>
      </c>
      <c r="B181" s="638">
        <v>0</v>
      </c>
      <c r="C181" s="298" t="s">
        <v>998</v>
      </c>
      <c r="D181" s="427" t="s">
        <v>861</v>
      </c>
    </row>
    <row r="182" spans="1:4" ht="14.25">
      <c r="A182" s="654" t="s">
        <v>877</v>
      </c>
      <c r="B182" s="638">
        <v>0</v>
      </c>
      <c r="C182" s="298" t="s">
        <v>554</v>
      </c>
      <c r="D182" s="336" t="s">
        <v>293</v>
      </c>
    </row>
    <row r="183" spans="1:6" ht="14.25">
      <c r="A183" s="654" t="s">
        <v>877</v>
      </c>
      <c r="B183" s="638">
        <v>0</v>
      </c>
      <c r="C183" s="298" t="s">
        <v>556</v>
      </c>
      <c r="D183" s="337" t="s">
        <v>557</v>
      </c>
      <c r="F183" s="104"/>
    </row>
    <row r="184" spans="1:6" ht="14.25">
      <c r="A184" s="656">
        <v>2329</v>
      </c>
      <c r="B184" s="638">
        <f>0+50</f>
        <v>50</v>
      </c>
      <c r="C184" s="298" t="s">
        <v>576</v>
      </c>
      <c r="D184" s="350" t="s">
        <v>846</v>
      </c>
      <c r="F184" s="104"/>
    </row>
    <row r="185" spans="1:4" ht="14.25">
      <c r="A185" s="656">
        <v>2329</v>
      </c>
      <c r="B185" s="652">
        <v>0</v>
      </c>
      <c r="C185" s="298" t="s">
        <v>550</v>
      </c>
      <c r="D185" s="335" t="s">
        <v>614</v>
      </c>
    </row>
    <row r="186" spans="1:4" ht="14.25">
      <c r="A186" s="656">
        <v>2329</v>
      </c>
      <c r="B186" s="652">
        <v>0</v>
      </c>
      <c r="C186" s="298" t="s">
        <v>215</v>
      </c>
      <c r="D186" s="336" t="s">
        <v>218</v>
      </c>
    </row>
    <row r="187" spans="1:4" ht="14.25">
      <c r="A187" s="656">
        <v>2329</v>
      </c>
      <c r="B187" s="652">
        <v>0</v>
      </c>
      <c r="C187" s="298" t="s">
        <v>936</v>
      </c>
      <c r="D187" s="336" t="s">
        <v>57</v>
      </c>
    </row>
    <row r="188" spans="1:4" ht="14.25">
      <c r="A188" s="754">
        <v>2329</v>
      </c>
      <c r="B188" s="652">
        <v>0</v>
      </c>
      <c r="C188" s="298" t="s">
        <v>924</v>
      </c>
      <c r="D188" s="726" t="s">
        <v>1192</v>
      </c>
    </row>
    <row r="189" spans="1:4" ht="14.25">
      <c r="A189" s="656">
        <v>2329</v>
      </c>
      <c r="B189" s="652">
        <v>0</v>
      </c>
      <c r="C189" s="449" t="s">
        <v>620</v>
      </c>
      <c r="D189" s="348" t="s">
        <v>1195</v>
      </c>
    </row>
    <row r="190" spans="1:4" ht="14.25">
      <c r="A190" s="656">
        <v>2329</v>
      </c>
      <c r="B190" s="652">
        <v>0</v>
      </c>
      <c r="C190" s="449" t="s">
        <v>373</v>
      </c>
      <c r="D190" s="348" t="s">
        <v>287</v>
      </c>
    </row>
    <row r="191" spans="1:5" ht="14.25">
      <c r="A191" s="736">
        <v>2329</v>
      </c>
      <c r="B191" s="652">
        <v>0</v>
      </c>
      <c r="C191" s="449" t="s">
        <v>376</v>
      </c>
      <c r="D191" s="737" t="s">
        <v>598</v>
      </c>
      <c r="E191" s="240"/>
    </row>
    <row r="192" spans="1:5" ht="14.25">
      <c r="A192" s="736">
        <v>2329</v>
      </c>
      <c r="B192" s="652">
        <v>0</v>
      </c>
      <c r="C192" s="738" t="s">
        <v>597</v>
      </c>
      <c r="D192" s="737" t="s">
        <v>599</v>
      </c>
      <c r="E192" s="240"/>
    </row>
    <row r="193" spans="1:5" ht="14.25">
      <c r="A193" s="736">
        <v>2329</v>
      </c>
      <c r="B193" s="652">
        <v>0</v>
      </c>
      <c r="C193" s="673" t="s">
        <v>840</v>
      </c>
      <c r="D193" s="737" t="s">
        <v>1193</v>
      </c>
      <c r="E193" s="240"/>
    </row>
    <row r="194" spans="1:5" ht="14.25">
      <c r="A194" s="736">
        <v>2329</v>
      </c>
      <c r="B194" s="652">
        <v>0</v>
      </c>
      <c r="C194" s="673" t="s">
        <v>847</v>
      </c>
      <c r="D194" s="451" t="s">
        <v>848</v>
      </c>
      <c r="E194" s="240"/>
    </row>
    <row r="195" spans="1:6" ht="14.25">
      <c r="A195" s="736">
        <v>2329</v>
      </c>
      <c r="B195" s="652">
        <v>0</v>
      </c>
      <c r="C195" s="673" t="s">
        <v>560</v>
      </c>
      <c r="D195" s="424" t="s">
        <v>561</v>
      </c>
      <c r="E195" s="240"/>
      <c r="F195" s="104"/>
    </row>
    <row r="196" spans="1:5" ht="14.25">
      <c r="A196" s="736">
        <v>2329</v>
      </c>
      <c r="B196" s="652">
        <v>0</v>
      </c>
      <c r="C196" s="673" t="s">
        <v>516</v>
      </c>
      <c r="D196" s="739" t="s">
        <v>297</v>
      </c>
      <c r="E196" s="240"/>
    </row>
    <row r="197" spans="1:5" ht="14.25">
      <c r="A197" s="740" t="s">
        <v>877</v>
      </c>
      <c r="B197" s="652">
        <v>0</v>
      </c>
      <c r="C197" s="673" t="s">
        <v>851</v>
      </c>
      <c r="D197" s="739" t="s">
        <v>165</v>
      </c>
      <c r="E197" s="240"/>
    </row>
    <row r="198" spans="1:5" ht="14.25">
      <c r="A198" s="736">
        <v>2329</v>
      </c>
      <c r="B198" s="652">
        <v>0</v>
      </c>
      <c r="C198" s="673" t="s">
        <v>879</v>
      </c>
      <c r="D198" s="424" t="s">
        <v>880</v>
      </c>
      <c r="E198" s="240"/>
    </row>
    <row r="199" spans="1:5" ht="14.25">
      <c r="A199" s="736">
        <v>2329</v>
      </c>
      <c r="B199" s="652">
        <v>0</v>
      </c>
      <c r="C199" s="673" t="s">
        <v>869</v>
      </c>
      <c r="D199" s="424" t="s">
        <v>870</v>
      </c>
      <c r="E199" s="240"/>
    </row>
    <row r="200" spans="1:5" ht="14.25">
      <c r="A200" s="736">
        <v>2329</v>
      </c>
      <c r="B200" s="652">
        <v>0</v>
      </c>
      <c r="C200" s="673" t="s">
        <v>531</v>
      </c>
      <c r="D200" s="424" t="s">
        <v>871</v>
      </c>
      <c r="E200" s="240"/>
    </row>
    <row r="201" spans="1:5" ht="14.25">
      <c r="A201" s="736">
        <v>2329</v>
      </c>
      <c r="B201" s="652">
        <v>0</v>
      </c>
      <c r="C201" s="673" t="s">
        <v>853</v>
      </c>
      <c r="D201" s="451" t="s">
        <v>854</v>
      </c>
      <c r="E201" s="240"/>
    </row>
    <row r="202" spans="1:6" ht="14.25">
      <c r="A202" s="736">
        <v>2329</v>
      </c>
      <c r="B202" s="652">
        <v>0</v>
      </c>
      <c r="C202" s="673" t="s">
        <v>881</v>
      </c>
      <c r="D202" s="739" t="s">
        <v>916</v>
      </c>
      <c r="E202" s="240"/>
      <c r="F202" s="681">
        <f>SUM(B171:B203)</f>
        <v>2784</v>
      </c>
    </row>
    <row r="203" spans="1:6" ht="14.25">
      <c r="A203" s="736">
        <v>2329</v>
      </c>
      <c r="B203" s="652">
        <v>0</v>
      </c>
      <c r="C203" s="673" t="s">
        <v>562</v>
      </c>
      <c r="D203" s="480" t="s">
        <v>855</v>
      </c>
      <c r="E203" s="240"/>
      <c r="F203" s="681"/>
    </row>
    <row r="204" spans="1:5" ht="14.25">
      <c r="A204" s="741" t="s">
        <v>592</v>
      </c>
      <c r="B204" s="652">
        <v>260</v>
      </c>
      <c r="C204" s="742" t="s">
        <v>851</v>
      </c>
      <c r="D204" s="480" t="s">
        <v>165</v>
      </c>
      <c r="E204" s="240"/>
    </row>
    <row r="205" spans="1:4" ht="14.25">
      <c r="A205" s="654" t="s">
        <v>883</v>
      </c>
      <c r="B205" s="877">
        <v>52</v>
      </c>
      <c r="C205" s="344" t="s">
        <v>884</v>
      </c>
      <c r="D205" s="303" t="s">
        <v>885</v>
      </c>
    </row>
    <row r="206" spans="1:4" ht="15" thickBot="1">
      <c r="A206" s="657" t="s">
        <v>883</v>
      </c>
      <c r="B206" s="639">
        <v>0</v>
      </c>
      <c r="C206" s="304" t="s">
        <v>851</v>
      </c>
      <c r="D206" s="425" t="s">
        <v>165</v>
      </c>
    </row>
    <row r="207" spans="1:8" ht="15.75" thickBot="1">
      <c r="A207" s="658" t="s">
        <v>358</v>
      </c>
      <c r="B207" s="691">
        <f>SUM(B61:B206)</f>
        <v>13197</v>
      </c>
      <c r="C207" s="306"/>
      <c r="D207" s="305"/>
      <c r="H207" s="470">
        <f>B207</f>
        <v>13197</v>
      </c>
    </row>
    <row r="208" spans="1:4" ht="15">
      <c r="A208" s="352"/>
      <c r="B208" s="725"/>
      <c r="C208" s="340"/>
      <c r="D208" s="352"/>
    </row>
    <row r="209" spans="1:4" ht="15">
      <c r="A209" s="352"/>
      <c r="B209" s="592"/>
      <c r="C209" s="340"/>
      <c r="D209" s="352"/>
    </row>
    <row r="210" spans="1:3" ht="16.5" thickBot="1">
      <c r="A210" s="223" t="s">
        <v>886</v>
      </c>
      <c r="B210" s="660"/>
      <c r="C210" s="291"/>
    </row>
    <row r="211" spans="1:4" ht="15">
      <c r="A211" s="635" t="s">
        <v>500</v>
      </c>
      <c r="B211" s="1028" t="s">
        <v>1218</v>
      </c>
      <c r="C211" s="294" t="s">
        <v>502</v>
      </c>
      <c r="D211" s="292" t="s">
        <v>503</v>
      </c>
    </row>
    <row r="212" spans="1:4" ht="13.5" thickBot="1">
      <c r="A212" s="381"/>
      <c r="B212" s="296" t="s">
        <v>695</v>
      </c>
      <c r="C212" s="297" t="s">
        <v>504</v>
      </c>
      <c r="D212" s="295"/>
    </row>
    <row r="213" spans="1:4" ht="14.25">
      <c r="A213" s="645" t="s">
        <v>887</v>
      </c>
      <c r="B213" s="661">
        <v>0</v>
      </c>
      <c r="C213" s="341" t="s">
        <v>864</v>
      </c>
      <c r="D213" s="353" t="s">
        <v>888</v>
      </c>
    </row>
    <row r="214" spans="1:4" ht="14.25">
      <c r="A214" s="642" t="s">
        <v>887</v>
      </c>
      <c r="B214" s="667">
        <v>0</v>
      </c>
      <c r="C214" s="343" t="s">
        <v>889</v>
      </c>
      <c r="D214" s="354" t="s">
        <v>890</v>
      </c>
    </row>
    <row r="215" spans="1:4" ht="14.25">
      <c r="A215" s="642" t="s">
        <v>887</v>
      </c>
      <c r="B215" s="662">
        <v>0</v>
      </c>
      <c r="C215" s="343" t="s">
        <v>606</v>
      </c>
      <c r="D215" s="354" t="s">
        <v>494</v>
      </c>
    </row>
    <row r="216" spans="1:4" ht="14.25">
      <c r="A216" s="642" t="s">
        <v>891</v>
      </c>
      <c r="B216" s="662">
        <v>0</v>
      </c>
      <c r="C216" s="344" t="s">
        <v>548</v>
      </c>
      <c r="D216" s="303" t="s">
        <v>549</v>
      </c>
    </row>
    <row r="217" spans="1:4" ht="14.25">
      <c r="A217" s="642" t="s">
        <v>891</v>
      </c>
      <c r="B217" s="662">
        <v>0</v>
      </c>
      <c r="C217" s="344" t="s">
        <v>554</v>
      </c>
      <c r="D217" s="336" t="s">
        <v>293</v>
      </c>
    </row>
    <row r="218" spans="1:6" ht="14.25">
      <c r="A218" s="642" t="s">
        <v>892</v>
      </c>
      <c r="B218" s="663">
        <v>850</v>
      </c>
      <c r="C218" s="344" t="s">
        <v>853</v>
      </c>
      <c r="D218" s="425" t="s">
        <v>23</v>
      </c>
      <c r="F218" s="104"/>
    </row>
    <row r="219" spans="1:7" ht="14.25">
      <c r="A219" s="646" t="s">
        <v>894</v>
      </c>
      <c r="B219" s="682">
        <v>2678</v>
      </c>
      <c r="C219" s="298" t="s">
        <v>853</v>
      </c>
      <c r="D219" s="425" t="s">
        <v>626</v>
      </c>
      <c r="F219" s="104"/>
      <c r="G219" s="104"/>
    </row>
    <row r="220" spans="1:7" ht="14.25">
      <c r="A220" s="646" t="s">
        <v>893</v>
      </c>
      <c r="B220" s="682">
        <v>472</v>
      </c>
      <c r="C220" s="298" t="s">
        <v>853</v>
      </c>
      <c r="D220" s="425" t="s">
        <v>627</v>
      </c>
      <c r="F220" s="104">
        <f>B218+B219+B220</f>
        <v>4000</v>
      </c>
      <c r="G220" s="104"/>
    </row>
    <row r="221" spans="1:4" ht="14.25">
      <c r="A221" s="670" t="s">
        <v>991</v>
      </c>
      <c r="B221" s="638">
        <v>0</v>
      </c>
      <c r="C221" s="298" t="s">
        <v>853</v>
      </c>
      <c r="D221" s="427" t="s">
        <v>992</v>
      </c>
    </row>
    <row r="222" spans="1:6" ht="14.25">
      <c r="A222" s="664" t="s">
        <v>505</v>
      </c>
      <c r="B222" s="662">
        <v>0</v>
      </c>
      <c r="C222" s="298" t="s">
        <v>506</v>
      </c>
      <c r="D222" s="299" t="s">
        <v>507</v>
      </c>
      <c r="F222" s="104"/>
    </row>
    <row r="223" spans="1:4" ht="14.25">
      <c r="A223" s="664" t="s">
        <v>508</v>
      </c>
      <c r="B223" s="662">
        <v>0</v>
      </c>
      <c r="C223" s="298" t="s">
        <v>506</v>
      </c>
      <c r="D223" s="299"/>
    </row>
    <row r="224" spans="1:4" ht="15" thickBot="1">
      <c r="A224" s="665" t="s">
        <v>518</v>
      </c>
      <c r="B224" s="662">
        <v>0</v>
      </c>
      <c r="C224" s="304" t="s">
        <v>506</v>
      </c>
      <c r="D224" s="299"/>
    </row>
    <row r="225" spans="1:8" ht="15.75" thickBot="1">
      <c r="A225" s="377" t="s">
        <v>358</v>
      </c>
      <c r="B225" s="634">
        <f>SUM(B213:B224)</f>
        <v>4000</v>
      </c>
      <c r="C225" s="306"/>
      <c r="D225" s="305"/>
      <c r="H225" s="470">
        <f>B225</f>
        <v>4000</v>
      </c>
    </row>
    <row r="226" spans="1:4" ht="12.75" customHeight="1">
      <c r="A226" s="355"/>
      <c r="B226" s="593"/>
      <c r="C226" s="356"/>
      <c r="D226" s="355"/>
    </row>
    <row r="227" spans="1:3" ht="16.5" thickBot="1">
      <c r="A227" s="223" t="s">
        <v>895</v>
      </c>
      <c r="B227" s="660"/>
      <c r="C227" s="291"/>
    </row>
    <row r="228" spans="1:4" ht="15">
      <c r="A228" s="635" t="s">
        <v>500</v>
      </c>
      <c r="B228" s="1028" t="s">
        <v>1218</v>
      </c>
      <c r="C228" s="294" t="s">
        <v>502</v>
      </c>
      <c r="D228" s="292" t="s">
        <v>503</v>
      </c>
    </row>
    <row r="229" spans="1:4" ht="13.5" thickBot="1">
      <c r="A229" s="381"/>
      <c r="B229" s="296" t="s">
        <v>695</v>
      </c>
      <c r="C229" s="297" t="s">
        <v>504</v>
      </c>
      <c r="D229" s="295"/>
    </row>
    <row r="230" spans="1:4" ht="14.25">
      <c r="A230" s="640" t="s">
        <v>896</v>
      </c>
      <c r="B230" s="871">
        <f>400+100</f>
        <v>500</v>
      </c>
      <c r="C230" s="341" t="s">
        <v>552</v>
      </c>
      <c r="D230" s="572" t="s">
        <v>1016</v>
      </c>
    </row>
    <row r="231" spans="1:5" ht="14.25">
      <c r="A231" s="641" t="s">
        <v>897</v>
      </c>
      <c r="B231" s="672">
        <v>900</v>
      </c>
      <c r="C231" s="673" t="s">
        <v>552</v>
      </c>
      <c r="D231" s="480" t="s">
        <v>1016</v>
      </c>
      <c r="E231" s="429"/>
    </row>
    <row r="232" spans="1:6" ht="14.25">
      <c r="A232" s="641" t="s">
        <v>898</v>
      </c>
      <c r="B232" s="667">
        <v>226</v>
      </c>
      <c r="C232" s="298" t="s">
        <v>556</v>
      </c>
      <c r="D232" s="335" t="s">
        <v>557</v>
      </c>
      <c r="F232" s="104"/>
    </row>
    <row r="233" spans="1:6" ht="14.25">
      <c r="A233" s="641" t="s">
        <v>898</v>
      </c>
      <c r="B233" s="666">
        <v>0</v>
      </c>
      <c r="C233" s="298" t="s">
        <v>554</v>
      </c>
      <c r="D233" s="336" t="s">
        <v>293</v>
      </c>
      <c r="F233" s="104"/>
    </row>
    <row r="234" spans="1:4" ht="14.25">
      <c r="A234" s="641" t="s">
        <v>899</v>
      </c>
      <c r="B234" s="666">
        <v>0</v>
      </c>
      <c r="C234" s="298" t="s">
        <v>562</v>
      </c>
      <c r="D234" s="348" t="s">
        <v>900</v>
      </c>
    </row>
    <row r="235" spans="1:4" ht="14.25">
      <c r="A235" s="641" t="s">
        <v>901</v>
      </c>
      <c r="B235" s="666">
        <v>0</v>
      </c>
      <c r="C235" s="298" t="s">
        <v>608</v>
      </c>
      <c r="D235" s="427" t="s">
        <v>289</v>
      </c>
    </row>
    <row r="236" spans="1:4" ht="14.25">
      <c r="A236" s="641" t="s">
        <v>901</v>
      </c>
      <c r="B236" s="666">
        <v>0</v>
      </c>
      <c r="C236" s="298" t="s">
        <v>558</v>
      </c>
      <c r="D236" s="299" t="s">
        <v>902</v>
      </c>
    </row>
    <row r="237" spans="1:4" ht="14.25">
      <c r="A237" s="641" t="s">
        <v>901</v>
      </c>
      <c r="B237" s="666">
        <v>0</v>
      </c>
      <c r="C237" s="298" t="s">
        <v>548</v>
      </c>
      <c r="D237" s="299" t="s">
        <v>903</v>
      </c>
    </row>
    <row r="238" spans="1:4" ht="14.25">
      <c r="A238" s="668" t="s">
        <v>220</v>
      </c>
      <c r="B238" s="666">
        <v>0</v>
      </c>
      <c r="C238" s="298" t="s">
        <v>552</v>
      </c>
      <c r="D238" s="427" t="s">
        <v>1016</v>
      </c>
    </row>
    <row r="239" spans="1:4" ht="14.25">
      <c r="A239" s="641" t="s">
        <v>904</v>
      </c>
      <c r="B239" s="666">
        <v>0</v>
      </c>
      <c r="C239" s="298" t="s">
        <v>869</v>
      </c>
      <c r="D239" s="299" t="s">
        <v>870</v>
      </c>
    </row>
    <row r="240" spans="1:4" ht="14.25">
      <c r="A240" s="642" t="s">
        <v>905</v>
      </c>
      <c r="B240" s="667">
        <v>19000</v>
      </c>
      <c r="C240" s="298" t="s">
        <v>1149</v>
      </c>
      <c r="D240" s="299" t="s">
        <v>764</v>
      </c>
    </row>
    <row r="241" spans="1:6" ht="15" thickBot="1">
      <c r="A241" s="643" t="s">
        <v>905</v>
      </c>
      <c r="B241" s="708">
        <f>1252+výdaje!B238</f>
        <v>1292</v>
      </c>
      <c r="C241" s="298" t="s">
        <v>523</v>
      </c>
      <c r="D241" s="299" t="s">
        <v>906</v>
      </c>
      <c r="F241" s="104">
        <f>B218+B219+B220+B221+B253+B273+B274+B275+B276+B277+B293</f>
        <v>12049</v>
      </c>
    </row>
    <row r="242" spans="1:8" ht="15.75" thickBot="1">
      <c r="A242" s="305" t="s">
        <v>358</v>
      </c>
      <c r="B242" s="659">
        <f>SUM(B230:B241)</f>
        <v>21918</v>
      </c>
      <c r="C242" s="339"/>
      <c r="D242" s="305"/>
      <c r="H242" s="470">
        <f>B242</f>
        <v>21918</v>
      </c>
    </row>
    <row r="243" spans="2:3" ht="5.25" customHeight="1">
      <c r="B243" s="648"/>
      <c r="C243" s="340"/>
    </row>
    <row r="244" spans="1:6" ht="16.5" thickBot="1">
      <c r="A244" s="223" t="s">
        <v>907</v>
      </c>
      <c r="B244" s="660"/>
      <c r="C244" s="291"/>
      <c r="F244" s="104"/>
    </row>
    <row r="245" spans="1:4" ht="15">
      <c r="A245" s="635" t="s">
        <v>500</v>
      </c>
      <c r="B245" s="1028" t="s">
        <v>1218</v>
      </c>
      <c r="C245" s="294" t="s">
        <v>502</v>
      </c>
      <c r="D245" s="292" t="s">
        <v>503</v>
      </c>
    </row>
    <row r="246" spans="1:6" ht="13.5" thickBot="1">
      <c r="A246" s="381"/>
      <c r="B246" s="296" t="s">
        <v>695</v>
      </c>
      <c r="C246" s="297" t="s">
        <v>504</v>
      </c>
      <c r="D246" s="295"/>
      <c r="F246" s="104"/>
    </row>
    <row r="247" spans="1:7" ht="14.25">
      <c r="A247" s="1019" t="s">
        <v>930</v>
      </c>
      <c r="B247" s="878">
        <v>0</v>
      </c>
      <c r="C247" s="357" t="s">
        <v>908</v>
      </c>
      <c r="D247" s="358" t="s">
        <v>264</v>
      </c>
      <c r="F247" s="104"/>
      <c r="G247" s="104">
        <f>B218+B219+B220+B274+B275+B276+B277+B278+B279+B280+B288+B290+B293+B283</f>
        <v>10353</v>
      </c>
    </row>
    <row r="248" spans="1:6" ht="14.25">
      <c r="A248" s="1020" t="s">
        <v>65</v>
      </c>
      <c r="B248" s="652">
        <v>0</v>
      </c>
      <c r="C248" s="357" t="s">
        <v>864</v>
      </c>
      <c r="D248" s="358" t="s">
        <v>909</v>
      </c>
      <c r="F248" s="104">
        <f>B272+B269</f>
        <v>0</v>
      </c>
    </row>
    <row r="249" spans="1:6" ht="14.25">
      <c r="A249" s="730" t="s">
        <v>65</v>
      </c>
      <c r="B249" s="638">
        <v>0</v>
      </c>
      <c r="C249" s="357" t="s">
        <v>864</v>
      </c>
      <c r="D249" s="360" t="s">
        <v>265</v>
      </c>
      <c r="F249" s="104">
        <f>B247+B265</f>
        <v>969</v>
      </c>
    </row>
    <row r="250" spans="1:7" ht="14.25">
      <c r="A250" s="730" t="s">
        <v>910</v>
      </c>
      <c r="B250" s="638">
        <v>0</v>
      </c>
      <c r="C250" s="357" t="s">
        <v>604</v>
      </c>
      <c r="D250" s="360" t="s">
        <v>352</v>
      </c>
      <c r="F250" s="104">
        <f>B258+B263+B259</f>
        <v>68</v>
      </c>
      <c r="G250" s="240"/>
    </row>
    <row r="251" spans="1:7" ht="14.25">
      <c r="A251" s="730" t="s">
        <v>911</v>
      </c>
      <c r="B251" s="638">
        <v>0</v>
      </c>
      <c r="C251" s="357" t="s">
        <v>604</v>
      </c>
      <c r="D251" s="360" t="s">
        <v>353</v>
      </c>
      <c r="F251" s="104">
        <f>B298+B297</f>
        <v>0</v>
      </c>
      <c r="G251" s="240"/>
    </row>
    <row r="252" spans="1:9" ht="14.25">
      <c r="A252" s="730" t="s">
        <v>912</v>
      </c>
      <c r="B252" s="638">
        <v>0</v>
      </c>
      <c r="C252" s="357" t="s">
        <v>913</v>
      </c>
      <c r="D252" s="360" t="s">
        <v>914</v>
      </c>
      <c r="F252" s="104"/>
      <c r="I252" s="104"/>
    </row>
    <row r="253" spans="1:4" ht="14.25">
      <c r="A253" s="1032" t="s">
        <v>1247</v>
      </c>
      <c r="B253" s="1048">
        <f>4016-4016+4252</f>
        <v>4252</v>
      </c>
      <c r="C253" s="1033" t="s">
        <v>829</v>
      </c>
      <c r="D253" s="360" t="s">
        <v>1280</v>
      </c>
    </row>
    <row r="254" spans="1:4" ht="14.25">
      <c r="A254" s="1032" t="s">
        <v>1246</v>
      </c>
      <c r="B254" s="652">
        <f>236-236</f>
        <v>0</v>
      </c>
      <c r="C254" s="1035" t="s">
        <v>829</v>
      </c>
      <c r="D254" s="360" t="s">
        <v>1245</v>
      </c>
    </row>
    <row r="255" spans="1:4" ht="14.25">
      <c r="A255" s="1021" t="s">
        <v>421</v>
      </c>
      <c r="B255" s="652">
        <v>0</v>
      </c>
      <c r="C255" s="357" t="s">
        <v>422</v>
      </c>
      <c r="D255" s="360" t="s">
        <v>423</v>
      </c>
    </row>
    <row r="256" spans="1:4" ht="14.25">
      <c r="A256" s="670" t="s">
        <v>836</v>
      </c>
      <c r="B256" s="652">
        <v>583</v>
      </c>
      <c r="C256" s="357" t="s">
        <v>837</v>
      </c>
      <c r="D256" s="360" t="s">
        <v>838</v>
      </c>
    </row>
    <row r="257" spans="1:4" ht="14.25">
      <c r="A257" s="670" t="s">
        <v>836</v>
      </c>
      <c r="B257" s="652">
        <v>103</v>
      </c>
      <c r="C257" s="357" t="s">
        <v>837</v>
      </c>
      <c r="D257" s="360" t="s">
        <v>839</v>
      </c>
    </row>
    <row r="258" spans="1:4" ht="14.25">
      <c r="A258" s="655" t="s">
        <v>478</v>
      </c>
      <c r="B258" s="652">
        <v>14</v>
      </c>
      <c r="C258" s="357" t="s">
        <v>479</v>
      </c>
      <c r="D258" s="360" t="s">
        <v>480</v>
      </c>
    </row>
    <row r="259" spans="1:4" ht="14.25">
      <c r="A259" s="655" t="s">
        <v>1070</v>
      </c>
      <c r="B259" s="652">
        <v>0</v>
      </c>
      <c r="C259" s="357" t="s">
        <v>1071</v>
      </c>
      <c r="D259" s="360" t="s">
        <v>1072</v>
      </c>
    </row>
    <row r="260" spans="1:4" ht="14.25">
      <c r="A260" s="655" t="s">
        <v>1070</v>
      </c>
      <c r="B260" s="652">
        <v>30</v>
      </c>
      <c r="C260" s="357" t="s">
        <v>1257</v>
      </c>
      <c r="D260" s="360" t="s">
        <v>1258</v>
      </c>
    </row>
    <row r="261" spans="1:4" ht="14.25">
      <c r="A261" s="1021" t="s">
        <v>1226</v>
      </c>
      <c r="B261" s="652">
        <f>20300-2243</f>
        <v>18057</v>
      </c>
      <c r="C261" s="357" t="s">
        <v>523</v>
      </c>
      <c r="D261" s="358" t="s">
        <v>753</v>
      </c>
    </row>
    <row r="262" spans="1:4" ht="14.25">
      <c r="A262" s="1021" t="s">
        <v>1226</v>
      </c>
      <c r="B262" s="652">
        <f>2978-304</f>
        <v>2674</v>
      </c>
      <c r="C262" s="357" t="s">
        <v>760</v>
      </c>
      <c r="D262" s="358" t="s">
        <v>755</v>
      </c>
    </row>
    <row r="263" spans="1:6" ht="14.25">
      <c r="A263" s="1021" t="s">
        <v>931</v>
      </c>
      <c r="B263" s="652">
        <f>50+4</f>
        <v>54</v>
      </c>
      <c r="C263" s="357" t="s">
        <v>606</v>
      </c>
      <c r="D263" s="358" t="s">
        <v>919</v>
      </c>
      <c r="F263" s="104"/>
    </row>
    <row r="264" spans="1:4" ht="14.25">
      <c r="A264" s="1021" t="s">
        <v>1281</v>
      </c>
      <c r="B264" s="1048">
        <f>126.5</f>
        <v>126.5</v>
      </c>
      <c r="C264" s="357" t="s">
        <v>606</v>
      </c>
      <c r="D264" s="358" t="s">
        <v>919</v>
      </c>
    </row>
    <row r="265" spans="1:4" ht="14.25">
      <c r="A265" s="1021" t="s">
        <v>932</v>
      </c>
      <c r="B265" s="652">
        <v>969</v>
      </c>
      <c r="C265" s="357" t="s">
        <v>548</v>
      </c>
      <c r="D265" s="317" t="s">
        <v>549</v>
      </c>
    </row>
    <row r="266" spans="1:4" ht="14.25">
      <c r="A266" s="1021" t="s">
        <v>444</v>
      </c>
      <c r="B266" s="652">
        <v>0</v>
      </c>
      <c r="C266" s="344" t="s">
        <v>445</v>
      </c>
      <c r="D266" s="425" t="s">
        <v>446</v>
      </c>
    </row>
    <row r="267" spans="1:4" ht="14.25">
      <c r="A267" s="730" t="s">
        <v>920</v>
      </c>
      <c r="B267" s="652">
        <v>0</v>
      </c>
      <c r="C267" s="344" t="s">
        <v>921</v>
      </c>
      <c r="D267" s="303" t="s">
        <v>922</v>
      </c>
    </row>
    <row r="268" spans="1:4" ht="14.25">
      <c r="A268" s="1021" t="s">
        <v>495</v>
      </c>
      <c r="B268" s="652">
        <f>0+125</f>
        <v>125</v>
      </c>
      <c r="C268" s="344" t="s">
        <v>548</v>
      </c>
      <c r="D268" s="361" t="s">
        <v>568</v>
      </c>
    </row>
    <row r="269" spans="1:4" ht="14.25">
      <c r="A269" s="1021" t="s">
        <v>1020</v>
      </c>
      <c r="B269" s="652">
        <v>0</v>
      </c>
      <c r="C269" s="344" t="s">
        <v>548</v>
      </c>
      <c r="D269" s="425" t="s">
        <v>1018</v>
      </c>
    </row>
    <row r="270" spans="1:4" ht="14.25">
      <c r="A270" s="1021" t="s">
        <v>1082</v>
      </c>
      <c r="B270" s="652">
        <f>140-9</f>
        <v>131</v>
      </c>
      <c r="C270" s="344" t="s">
        <v>976</v>
      </c>
      <c r="D270" s="425" t="s">
        <v>1081</v>
      </c>
    </row>
    <row r="271" spans="1:4" ht="14.25">
      <c r="A271" s="1021" t="s">
        <v>988</v>
      </c>
      <c r="B271" s="652">
        <v>0</v>
      </c>
      <c r="C271" s="344" t="s">
        <v>357</v>
      </c>
      <c r="D271" s="425" t="s">
        <v>989</v>
      </c>
    </row>
    <row r="272" spans="1:4" ht="14.25">
      <c r="A272" s="1021" t="s">
        <v>481</v>
      </c>
      <c r="B272" s="652">
        <v>0</v>
      </c>
      <c r="C272" s="344" t="s">
        <v>445</v>
      </c>
      <c r="D272" s="425" t="s">
        <v>482</v>
      </c>
    </row>
    <row r="273" spans="1:7" ht="14.25">
      <c r="A273" s="1021" t="s">
        <v>1222</v>
      </c>
      <c r="B273" s="652">
        <v>720</v>
      </c>
      <c r="C273" s="449" t="s">
        <v>924</v>
      </c>
      <c r="D273" s="362" t="s">
        <v>1223</v>
      </c>
      <c r="G273" s="104"/>
    </row>
    <row r="274" spans="1:6" ht="14.25">
      <c r="A274" s="1021" t="s">
        <v>1019</v>
      </c>
      <c r="B274" s="652">
        <v>1937</v>
      </c>
      <c r="C274" s="449" t="s">
        <v>373</v>
      </c>
      <c r="D274" s="362" t="s">
        <v>375</v>
      </c>
      <c r="F274" s="104"/>
    </row>
    <row r="275" spans="1:6" ht="14.25">
      <c r="A275" s="1021" t="s">
        <v>1019</v>
      </c>
      <c r="B275" s="652">
        <v>342</v>
      </c>
      <c r="C275" s="449" t="s">
        <v>373</v>
      </c>
      <c r="D275" s="362" t="s">
        <v>374</v>
      </c>
      <c r="F275" s="104"/>
    </row>
    <row r="276" spans="1:4" ht="14.25">
      <c r="A276" s="1021" t="s">
        <v>1019</v>
      </c>
      <c r="B276" s="652">
        <f>576-117</f>
        <v>459</v>
      </c>
      <c r="C276" s="449" t="s">
        <v>376</v>
      </c>
      <c r="D276" s="362" t="s">
        <v>377</v>
      </c>
    </row>
    <row r="277" spans="1:4" ht="14.25">
      <c r="A277" s="1021" t="s">
        <v>1019</v>
      </c>
      <c r="B277" s="652">
        <f>102-21</f>
        <v>81</v>
      </c>
      <c r="C277" s="449" t="s">
        <v>376</v>
      </c>
      <c r="D277" s="362" t="s">
        <v>378</v>
      </c>
    </row>
    <row r="278" spans="1:4" ht="14.25">
      <c r="A278" s="1021" t="s">
        <v>1019</v>
      </c>
      <c r="B278" s="652">
        <v>2450</v>
      </c>
      <c r="C278" s="449" t="s">
        <v>597</v>
      </c>
      <c r="D278" s="362" t="s">
        <v>623</v>
      </c>
    </row>
    <row r="279" spans="1:4" ht="14.25">
      <c r="A279" s="1021" t="s">
        <v>1019</v>
      </c>
      <c r="B279" s="652">
        <v>432</v>
      </c>
      <c r="C279" s="449" t="s">
        <v>597</v>
      </c>
      <c r="D279" s="362" t="s">
        <v>624</v>
      </c>
    </row>
    <row r="280" spans="1:4" ht="14.25">
      <c r="A280" s="1022" t="s">
        <v>915</v>
      </c>
      <c r="B280" s="652">
        <v>250</v>
      </c>
      <c r="C280" s="743" t="s">
        <v>840</v>
      </c>
      <c r="D280" s="744" t="s">
        <v>841</v>
      </c>
    </row>
    <row r="281" spans="1:4" ht="14.25">
      <c r="A281" s="741" t="s">
        <v>1224</v>
      </c>
      <c r="B281" s="652">
        <v>450</v>
      </c>
      <c r="C281" s="449" t="s">
        <v>620</v>
      </c>
      <c r="D281" s="733" t="s">
        <v>1225</v>
      </c>
    </row>
    <row r="282" spans="1:4" ht="14.25">
      <c r="A282" s="655" t="s">
        <v>1070</v>
      </c>
      <c r="B282" s="652">
        <v>30</v>
      </c>
      <c r="C282" s="449" t="s">
        <v>1260</v>
      </c>
      <c r="D282" s="733" t="s">
        <v>1261</v>
      </c>
    </row>
    <row r="283" spans="1:4" ht="14.25">
      <c r="A283" s="1022" t="s">
        <v>915</v>
      </c>
      <c r="B283" s="652">
        <v>0</v>
      </c>
      <c r="C283" s="449" t="s">
        <v>1021</v>
      </c>
      <c r="D283" s="733" t="s">
        <v>1022</v>
      </c>
    </row>
    <row r="284" spans="1:4" ht="14.25">
      <c r="A284" s="730" t="s">
        <v>925</v>
      </c>
      <c r="B284" s="652">
        <v>0</v>
      </c>
      <c r="C284" s="344" t="s">
        <v>926</v>
      </c>
      <c r="D284" s="363" t="s">
        <v>927</v>
      </c>
    </row>
    <row r="285" spans="1:4" ht="14.25">
      <c r="A285" s="730" t="s">
        <v>928</v>
      </c>
      <c r="B285" s="652">
        <v>0</v>
      </c>
      <c r="C285" s="344" t="s">
        <v>521</v>
      </c>
      <c r="D285" s="427" t="s">
        <v>555</v>
      </c>
    </row>
    <row r="286" spans="1:4" ht="14.25">
      <c r="A286" s="1021" t="s">
        <v>21</v>
      </c>
      <c r="B286" s="652">
        <v>0</v>
      </c>
      <c r="C286" s="449" t="s">
        <v>929</v>
      </c>
      <c r="D286" s="427" t="s">
        <v>355</v>
      </c>
    </row>
    <row r="287" spans="1:4" ht="14.25">
      <c r="A287" s="1021" t="s">
        <v>22</v>
      </c>
      <c r="B287" s="652">
        <v>0</v>
      </c>
      <c r="C287" s="344" t="s">
        <v>929</v>
      </c>
      <c r="D287" s="427" t="s">
        <v>356</v>
      </c>
    </row>
    <row r="288" spans="1:4" ht="14.25">
      <c r="A288" s="1021" t="s">
        <v>351</v>
      </c>
      <c r="B288" s="652">
        <v>18</v>
      </c>
      <c r="C288" s="298" t="s">
        <v>550</v>
      </c>
      <c r="D288" s="427" t="s">
        <v>219</v>
      </c>
    </row>
    <row r="289" spans="1:4" ht="14.25">
      <c r="A289" s="1023" t="s">
        <v>933</v>
      </c>
      <c r="B289" s="652">
        <v>0</v>
      </c>
      <c r="C289" s="298" t="s">
        <v>1087</v>
      </c>
      <c r="D289" s="427" t="s">
        <v>379</v>
      </c>
    </row>
    <row r="290" spans="1:4" ht="14.25">
      <c r="A290" s="1024" t="s">
        <v>1238</v>
      </c>
      <c r="B290" s="652">
        <v>126</v>
      </c>
      <c r="C290" s="298" t="s">
        <v>628</v>
      </c>
      <c r="D290" s="427" t="s">
        <v>629</v>
      </c>
    </row>
    <row r="291" spans="1:4" ht="14.25">
      <c r="A291" s="1023" t="s">
        <v>511</v>
      </c>
      <c r="B291" s="652">
        <v>0</v>
      </c>
      <c r="C291" s="298" t="s">
        <v>19</v>
      </c>
      <c r="D291" s="427" t="s">
        <v>512</v>
      </c>
    </row>
    <row r="292" spans="1:4" ht="14.25">
      <c r="A292" s="1025" t="s">
        <v>65</v>
      </c>
      <c r="B292" s="652">
        <v>0</v>
      </c>
      <c r="C292" s="298" t="s">
        <v>523</v>
      </c>
      <c r="D292" s="299" t="s">
        <v>935</v>
      </c>
    </row>
    <row r="293" spans="1:4" ht="14.25">
      <c r="A293" s="1023" t="s">
        <v>934</v>
      </c>
      <c r="B293" s="652">
        <f>243+15</f>
        <v>258</v>
      </c>
      <c r="C293" s="298" t="s">
        <v>936</v>
      </c>
      <c r="D293" s="364" t="s">
        <v>937</v>
      </c>
    </row>
    <row r="294" spans="1:4" ht="14.25">
      <c r="A294" s="677" t="s">
        <v>221</v>
      </c>
      <c r="B294" s="652">
        <v>0</v>
      </c>
      <c r="C294" s="298" t="s">
        <v>7</v>
      </c>
      <c r="D294" s="678" t="s">
        <v>210</v>
      </c>
    </row>
    <row r="295" spans="1:4" ht="14.25">
      <c r="A295" s="677" t="s">
        <v>221</v>
      </c>
      <c r="B295" s="652">
        <v>0</v>
      </c>
      <c r="C295" s="298" t="s">
        <v>397</v>
      </c>
      <c r="D295" s="679" t="s">
        <v>211</v>
      </c>
    </row>
    <row r="296" spans="1:4" ht="14.25">
      <c r="A296" s="677" t="s">
        <v>1270</v>
      </c>
      <c r="B296" s="652">
        <f>125+892</f>
        <v>1017</v>
      </c>
      <c r="C296" s="298" t="s">
        <v>1149</v>
      </c>
      <c r="D296" s="879" t="s">
        <v>1268</v>
      </c>
    </row>
    <row r="297" spans="1:4" ht="14.25">
      <c r="A297" s="677" t="s">
        <v>488</v>
      </c>
      <c r="B297" s="652">
        <v>0</v>
      </c>
      <c r="C297" s="298" t="s">
        <v>510</v>
      </c>
      <c r="D297" s="679" t="s">
        <v>212</v>
      </c>
    </row>
    <row r="298" spans="1:4" ht="14.25">
      <c r="A298" s="677" t="s">
        <v>488</v>
      </c>
      <c r="B298" s="652">
        <v>0</v>
      </c>
      <c r="C298" s="673" t="s">
        <v>394</v>
      </c>
      <c r="D298" s="879" t="s">
        <v>213</v>
      </c>
    </row>
    <row r="299" spans="1:4" ht="14.25">
      <c r="A299" s="869" t="s">
        <v>1269</v>
      </c>
      <c r="B299" s="652">
        <f>2118+15170</f>
        <v>17288</v>
      </c>
      <c r="C299" s="673" t="s">
        <v>1149</v>
      </c>
      <c r="D299" s="879" t="s">
        <v>1268</v>
      </c>
    </row>
    <row r="300" spans="1:4" ht="14.25">
      <c r="A300" s="869" t="s">
        <v>1226</v>
      </c>
      <c r="B300" s="652">
        <v>295</v>
      </c>
      <c r="C300" s="738" t="s">
        <v>761</v>
      </c>
      <c r="D300" s="879" t="s">
        <v>1230</v>
      </c>
    </row>
    <row r="301" spans="1:4" ht="14.25">
      <c r="A301" s="1021" t="s">
        <v>386</v>
      </c>
      <c r="B301" s="652">
        <v>0</v>
      </c>
      <c r="C301" s="344" t="s">
        <v>510</v>
      </c>
      <c r="D301" s="474" t="s">
        <v>347</v>
      </c>
    </row>
    <row r="302" spans="1:4" ht="14.25">
      <c r="A302" s="1021" t="s">
        <v>387</v>
      </c>
      <c r="B302" s="652">
        <v>0</v>
      </c>
      <c r="C302" s="344" t="s">
        <v>510</v>
      </c>
      <c r="D302" s="474" t="s">
        <v>346</v>
      </c>
    </row>
    <row r="303" spans="1:4" ht="14.25">
      <c r="A303" s="1021" t="s">
        <v>384</v>
      </c>
      <c r="B303" s="638">
        <v>0</v>
      </c>
      <c r="C303" s="344" t="s">
        <v>510</v>
      </c>
      <c r="D303" s="474" t="s">
        <v>349</v>
      </c>
    </row>
    <row r="304" spans="1:4" ht="15" thickBot="1">
      <c r="A304" s="1026" t="s">
        <v>385</v>
      </c>
      <c r="B304" s="639">
        <v>0</v>
      </c>
      <c r="C304" s="304" t="s">
        <v>510</v>
      </c>
      <c r="D304" s="475" t="s">
        <v>348</v>
      </c>
    </row>
    <row r="305" spans="1:8" ht="15.75" thickBot="1">
      <c r="A305" s="305" t="s">
        <v>358</v>
      </c>
      <c r="B305" s="659">
        <f>SUM(B247:B304)</f>
        <v>53271.5</v>
      </c>
      <c r="C305" s="339"/>
      <c r="D305" s="305"/>
      <c r="H305" s="470">
        <f>B305</f>
        <v>53271.5</v>
      </c>
    </row>
    <row r="306" spans="2:3" ht="6.75" customHeight="1">
      <c r="B306" s="669"/>
      <c r="C306" s="291"/>
    </row>
    <row r="307" spans="2:3" ht="12.75">
      <c r="B307" s="365"/>
      <c r="C307" s="366"/>
    </row>
    <row r="308" spans="2:8" ht="12.75">
      <c r="B308" s="365"/>
      <c r="C308" s="366"/>
      <c r="H308" s="1">
        <f>SUM(H6:H305)</f>
        <v>131483.5</v>
      </c>
    </row>
    <row r="309" spans="2:3" ht="12.75">
      <c r="B309" s="365"/>
      <c r="C309" s="366"/>
    </row>
    <row r="310" spans="2:3" ht="12.75">
      <c r="B310" s="365"/>
      <c r="C310" s="366"/>
    </row>
    <row r="311" spans="2:3" ht="12.75">
      <c r="B311" s="365"/>
      <c r="C311" s="366"/>
    </row>
    <row r="312" spans="2:3" ht="12.75">
      <c r="B312" s="365"/>
      <c r="C312" s="366"/>
    </row>
    <row r="313" spans="2:3" ht="12.75">
      <c r="B313" s="365"/>
      <c r="C313" s="366"/>
    </row>
    <row r="314" spans="2:3" ht="12.75">
      <c r="B314" s="365"/>
      <c r="C314" s="366"/>
    </row>
    <row r="315" spans="2:3" ht="12.75">
      <c r="B315" s="365"/>
      <c r="C315" s="366"/>
    </row>
    <row r="316" spans="2:3" ht="12.75">
      <c r="B316" s="365"/>
      <c r="C316" s="366"/>
    </row>
    <row r="317" spans="2:3" ht="12.75">
      <c r="B317" s="365"/>
      <c r="C317" s="366"/>
    </row>
    <row r="318" spans="2:3" ht="12.75">
      <c r="B318" s="365"/>
      <c r="C318" s="366"/>
    </row>
    <row r="319" spans="2:3" ht="12.75">
      <c r="B319" s="365"/>
      <c r="C319" s="366"/>
    </row>
    <row r="320" spans="2:3" ht="12.75">
      <c r="B320" s="365"/>
      <c r="C320" s="366"/>
    </row>
    <row r="321" spans="2:3" ht="12.75">
      <c r="B321" s="365"/>
      <c r="C321" s="366"/>
    </row>
    <row r="323" spans="1:5" ht="12.75">
      <c r="A323" s="352"/>
      <c r="E323" s="429" t="s">
        <v>464</v>
      </c>
    </row>
    <row r="324" ht="12.75">
      <c r="A324" s="352"/>
    </row>
  </sheetData>
  <sheetProtection/>
  <autoFilter ref="A246:I305"/>
  <printOptions gridLines="1"/>
  <pageMargins left="0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00"/>
  <sheetViews>
    <sheetView zoomScale="84" zoomScaleNormal="84" zoomScalePageLayoutView="0" workbookViewId="0" topLeftCell="A1">
      <selection activeCell="H1" sqref="H1:Q16384"/>
    </sheetView>
  </sheetViews>
  <sheetFormatPr defaultColWidth="9.00390625" defaultRowHeight="12.75"/>
  <cols>
    <col min="1" max="1" width="34.625" style="1" customWidth="1"/>
    <col min="2" max="3" width="11.75390625" style="1" customWidth="1"/>
    <col min="4" max="4" width="80.875" style="1" customWidth="1"/>
    <col min="5" max="5" width="10.125" style="1" bestFit="1" customWidth="1"/>
    <col min="6" max="6" width="12.00390625" style="1" bestFit="1" customWidth="1"/>
    <col min="7" max="8" width="9.00390625" style="1" customWidth="1"/>
    <col min="9" max="10" width="12.00390625" style="1" customWidth="1"/>
    <col min="11" max="11" width="9.00390625" style="1" customWidth="1"/>
    <col min="12" max="12" width="12.75390625" style="1" customWidth="1"/>
    <col min="13" max="16384" width="9.00390625" style="1" customWidth="1"/>
  </cols>
  <sheetData>
    <row r="1" spans="1:14" ht="18" customHeight="1">
      <c r="A1" s="288" t="s">
        <v>1213</v>
      </c>
      <c r="C1" s="367" t="s">
        <v>358</v>
      </c>
      <c r="D1" s="323">
        <f>B125+B231+B241+B331+B456+B540+B563+B580+B588+B623+B647+B706+B789</f>
        <v>163822.5</v>
      </c>
      <c r="E1" s="323"/>
      <c r="L1" s="323"/>
      <c r="N1" s="104"/>
    </row>
    <row r="2" spans="1:5" ht="5.25" customHeight="1">
      <c r="A2" s="288"/>
      <c r="C2" s="367"/>
      <c r="D2" s="323"/>
      <c r="E2" s="323"/>
    </row>
    <row r="3" spans="1:5" ht="18" customHeight="1">
      <c r="A3" s="746" t="s">
        <v>601</v>
      </c>
      <c r="C3" s="367"/>
      <c r="D3" s="477"/>
      <c r="E3" s="323"/>
    </row>
    <row r="4" spans="1:6" ht="15" customHeight="1" hidden="1">
      <c r="A4" s="288"/>
      <c r="C4" s="241"/>
      <c r="D4" s="477"/>
      <c r="E4" s="683"/>
      <c r="F4" s="104"/>
    </row>
    <row r="5" spans="1:9" ht="18.75" customHeight="1">
      <c r="A5" s="223" t="s">
        <v>1277</v>
      </c>
      <c r="C5" s="241"/>
      <c r="D5" s="477"/>
      <c r="E5" s="323"/>
      <c r="F5" s="430"/>
      <c r="I5" s="240"/>
    </row>
    <row r="6" ht="18.75" customHeight="1" thickBot="1">
      <c r="A6" s="307" t="s">
        <v>938</v>
      </c>
    </row>
    <row r="7" spans="1:6" ht="12.75">
      <c r="A7" s="292" t="s">
        <v>500</v>
      </c>
      <c r="B7" s="1029" t="s">
        <v>1219</v>
      </c>
      <c r="C7" s="293" t="s">
        <v>502</v>
      </c>
      <c r="D7" s="292" t="s">
        <v>503</v>
      </c>
      <c r="F7" s="633" t="s">
        <v>97</v>
      </c>
    </row>
    <row r="8" spans="1:4" ht="13.5" thickBot="1">
      <c r="A8" s="295"/>
      <c r="B8" s="296" t="s">
        <v>695</v>
      </c>
      <c r="C8" s="296" t="s">
        <v>504</v>
      </c>
      <c r="D8" s="295"/>
    </row>
    <row r="9" spans="1:10" ht="12.75" customHeight="1">
      <c r="A9" s="313" t="s">
        <v>939</v>
      </c>
      <c r="B9" s="594">
        <v>187</v>
      </c>
      <c r="C9" s="526" t="s">
        <v>1173</v>
      </c>
      <c r="D9" s="425" t="s">
        <v>55</v>
      </c>
      <c r="J9" s="104"/>
    </row>
    <row r="10" spans="1:10" ht="12.75" customHeight="1">
      <c r="A10" s="359" t="s">
        <v>939</v>
      </c>
      <c r="B10" s="568">
        <v>137</v>
      </c>
      <c r="C10" s="528" t="s">
        <v>157</v>
      </c>
      <c r="D10" s="425" t="s">
        <v>171</v>
      </c>
      <c r="J10" s="104"/>
    </row>
    <row r="11" spans="1:10" ht="12.75" customHeight="1">
      <c r="A11" s="359" t="s">
        <v>939</v>
      </c>
      <c r="B11" s="568">
        <v>195</v>
      </c>
      <c r="C11" s="438" t="s">
        <v>606</v>
      </c>
      <c r="D11" s="346" t="s">
        <v>940</v>
      </c>
      <c r="J11" s="104"/>
    </row>
    <row r="12" spans="1:10" ht="12.75" customHeight="1">
      <c r="A12" s="315" t="s">
        <v>939</v>
      </c>
      <c r="B12" s="1038">
        <f>3945+100</f>
        <v>4045</v>
      </c>
      <c r="C12" s="439" t="s">
        <v>548</v>
      </c>
      <c r="D12" s="303" t="s">
        <v>941</v>
      </c>
      <c r="F12" s="104"/>
      <c r="J12" s="104"/>
    </row>
    <row r="13" spans="1:10" ht="12.75" customHeight="1">
      <c r="A13" s="315" t="s">
        <v>939</v>
      </c>
      <c r="B13" s="568">
        <v>0</v>
      </c>
      <c r="C13" s="439" t="s">
        <v>609</v>
      </c>
      <c r="D13" s="425" t="s">
        <v>291</v>
      </c>
      <c r="J13" s="104"/>
    </row>
    <row r="14" spans="1:10" ht="12.75" customHeight="1">
      <c r="A14" s="315" t="s">
        <v>939</v>
      </c>
      <c r="B14" s="568">
        <v>180</v>
      </c>
      <c r="C14" s="439" t="s">
        <v>936</v>
      </c>
      <c r="D14" s="303" t="s">
        <v>942</v>
      </c>
      <c r="H14" s="104"/>
      <c r="J14" s="104"/>
    </row>
    <row r="15" spans="1:10" ht="12.75" customHeight="1">
      <c r="A15" s="315" t="s">
        <v>939</v>
      </c>
      <c r="B15" s="568">
        <v>315</v>
      </c>
      <c r="C15" s="439" t="s">
        <v>597</v>
      </c>
      <c r="D15" s="368" t="s">
        <v>765</v>
      </c>
      <c r="H15" s="104"/>
      <c r="J15" s="104"/>
    </row>
    <row r="16" spans="1:10" ht="12.75" customHeight="1">
      <c r="A16" s="315" t="s">
        <v>939</v>
      </c>
      <c r="B16" s="568">
        <v>0</v>
      </c>
      <c r="C16" s="439" t="s">
        <v>875</v>
      </c>
      <c r="D16" s="368" t="s">
        <v>943</v>
      </c>
      <c r="J16" s="104"/>
    </row>
    <row r="17" spans="1:10" ht="12.75" customHeight="1">
      <c r="A17" s="315" t="s">
        <v>939</v>
      </c>
      <c r="B17" s="568">
        <v>506</v>
      </c>
      <c r="C17" s="439" t="s">
        <v>554</v>
      </c>
      <c r="D17" s="425" t="s">
        <v>293</v>
      </c>
      <c r="G17" s="104"/>
      <c r="I17" s="104"/>
      <c r="J17" s="104"/>
    </row>
    <row r="18" spans="1:10" ht="12.75" customHeight="1">
      <c r="A18" s="315" t="s">
        <v>939</v>
      </c>
      <c r="B18" s="1039">
        <f>3665</f>
        <v>3665</v>
      </c>
      <c r="C18" s="439" t="s">
        <v>558</v>
      </c>
      <c r="D18" s="303" t="s">
        <v>944</v>
      </c>
      <c r="J18" s="104"/>
    </row>
    <row r="19" spans="1:10" ht="12.75" customHeight="1">
      <c r="A19" s="315" t="s">
        <v>939</v>
      </c>
      <c r="B19" s="568">
        <v>225</v>
      </c>
      <c r="C19" s="527" t="s">
        <v>576</v>
      </c>
      <c r="D19" s="303" t="s">
        <v>971</v>
      </c>
      <c r="J19" s="104"/>
    </row>
    <row r="20" spans="1:10" ht="12.75" customHeight="1">
      <c r="A20" s="315" t="s">
        <v>939</v>
      </c>
      <c r="B20" s="568">
        <v>150</v>
      </c>
      <c r="C20" s="439" t="s">
        <v>847</v>
      </c>
      <c r="D20" s="303" t="s">
        <v>848</v>
      </c>
      <c r="J20" s="104"/>
    </row>
    <row r="21" spans="1:10" ht="12.75" customHeight="1">
      <c r="A21" s="315" t="s">
        <v>939</v>
      </c>
      <c r="B21" s="568">
        <v>0</v>
      </c>
      <c r="C21" s="439" t="s">
        <v>526</v>
      </c>
      <c r="D21" s="303" t="s">
        <v>527</v>
      </c>
      <c r="F21" s="104"/>
      <c r="J21" s="104"/>
    </row>
    <row r="22" spans="1:10" ht="12.75" customHeight="1">
      <c r="A22" s="315" t="s">
        <v>939</v>
      </c>
      <c r="B22" s="568">
        <f>15+96</f>
        <v>111</v>
      </c>
      <c r="C22" s="439" t="s">
        <v>516</v>
      </c>
      <c r="D22" s="427" t="s">
        <v>625</v>
      </c>
      <c r="H22" s="104"/>
      <c r="I22" s="104"/>
      <c r="J22" s="104"/>
    </row>
    <row r="23" spans="1:10" ht="12.75" customHeight="1">
      <c r="A23" s="315" t="s">
        <v>939</v>
      </c>
      <c r="B23" s="568">
        <v>100</v>
      </c>
      <c r="C23" s="439" t="s">
        <v>852</v>
      </c>
      <c r="D23" s="425" t="s">
        <v>166</v>
      </c>
      <c r="F23" s="104"/>
      <c r="J23" s="104"/>
    </row>
    <row r="24" spans="1:10" ht="12.75" customHeight="1">
      <c r="A24" s="315" t="s">
        <v>939</v>
      </c>
      <c r="B24" s="595">
        <f>3400-2350+2678+472</f>
        <v>4200</v>
      </c>
      <c r="C24" s="439" t="s">
        <v>853</v>
      </c>
      <c r="D24" s="739" t="s">
        <v>214</v>
      </c>
      <c r="F24" s="104"/>
      <c r="J24" s="104"/>
    </row>
    <row r="25" spans="1:10" ht="12.75" customHeight="1">
      <c r="A25" s="315" t="s">
        <v>939</v>
      </c>
      <c r="B25" s="469">
        <v>0</v>
      </c>
      <c r="C25" s="439" t="s">
        <v>881</v>
      </c>
      <c r="D25" s="451" t="s">
        <v>945</v>
      </c>
      <c r="F25" s="104"/>
      <c r="J25" s="104"/>
    </row>
    <row r="26" spans="1:10" ht="12.75" customHeight="1">
      <c r="A26" s="315" t="s">
        <v>939</v>
      </c>
      <c r="B26" s="469">
        <f>0+100</f>
        <v>100</v>
      </c>
      <c r="C26" s="439" t="s">
        <v>562</v>
      </c>
      <c r="D26" s="303" t="s">
        <v>946</v>
      </c>
      <c r="J26" s="104"/>
    </row>
    <row r="27" spans="1:10" ht="12.75" customHeight="1">
      <c r="A27" s="315" t="s">
        <v>939</v>
      </c>
      <c r="B27" s="568">
        <v>305</v>
      </c>
      <c r="C27" s="439" t="s">
        <v>564</v>
      </c>
      <c r="D27" s="303" t="s">
        <v>947</v>
      </c>
      <c r="J27" s="104"/>
    </row>
    <row r="28" spans="1:10" ht="12.75" customHeight="1">
      <c r="A28" s="315" t="s">
        <v>939</v>
      </c>
      <c r="B28" s="568">
        <v>200</v>
      </c>
      <c r="C28" s="439" t="s">
        <v>884</v>
      </c>
      <c r="D28" s="303" t="s">
        <v>948</v>
      </c>
      <c r="F28" s="104">
        <f>SUM(B9:B28)</f>
        <v>14621</v>
      </c>
      <c r="J28" s="104"/>
    </row>
    <row r="29" spans="1:10" ht="12.75" customHeight="1">
      <c r="A29" s="315" t="s">
        <v>949</v>
      </c>
      <c r="B29" s="568">
        <v>26</v>
      </c>
      <c r="C29" s="439" t="s">
        <v>523</v>
      </c>
      <c r="D29" s="303" t="s">
        <v>950</v>
      </c>
      <c r="F29" s="470"/>
      <c r="H29" s="104"/>
      <c r="J29" s="104"/>
    </row>
    <row r="30" spans="1:10" ht="12.75" customHeight="1">
      <c r="A30" s="315" t="s">
        <v>949</v>
      </c>
      <c r="B30" s="469">
        <v>0</v>
      </c>
      <c r="C30" s="439" t="s">
        <v>570</v>
      </c>
      <c r="D30" s="425" t="s">
        <v>442</v>
      </c>
      <c r="F30" s="104"/>
      <c r="J30" s="104"/>
    </row>
    <row r="31" spans="1:10" ht="12.75" customHeight="1">
      <c r="A31" s="315" t="s">
        <v>949</v>
      </c>
      <c r="B31" s="1038">
        <f>55</f>
        <v>55</v>
      </c>
      <c r="C31" s="527" t="s">
        <v>1173</v>
      </c>
      <c r="D31" s="425" t="s">
        <v>55</v>
      </c>
      <c r="F31" s="104"/>
      <c r="J31" s="104"/>
    </row>
    <row r="32" spans="1:10" ht="12.75" customHeight="1">
      <c r="A32" s="315" t="s">
        <v>949</v>
      </c>
      <c r="B32" s="469">
        <v>0</v>
      </c>
      <c r="C32" s="527" t="s">
        <v>157</v>
      </c>
      <c r="D32" s="425" t="s">
        <v>171</v>
      </c>
      <c r="F32" s="104"/>
      <c r="G32" s="104"/>
      <c r="J32" s="104"/>
    </row>
    <row r="33" spans="1:10" ht="12.75" customHeight="1">
      <c r="A33" s="315" t="s">
        <v>949</v>
      </c>
      <c r="B33" s="568">
        <v>70</v>
      </c>
      <c r="C33" s="527" t="s">
        <v>158</v>
      </c>
      <c r="D33" s="425" t="s">
        <v>172</v>
      </c>
      <c r="F33" s="470"/>
      <c r="H33" s="104"/>
      <c r="J33" s="104"/>
    </row>
    <row r="34" spans="1:10" ht="12.75" customHeight="1">
      <c r="A34" s="315" t="s">
        <v>949</v>
      </c>
      <c r="B34" s="568">
        <v>0</v>
      </c>
      <c r="C34" s="527" t="s">
        <v>476</v>
      </c>
      <c r="D34" s="425" t="s">
        <v>484</v>
      </c>
      <c r="F34" s="470"/>
      <c r="H34" s="104"/>
      <c r="J34" s="104"/>
    </row>
    <row r="35" spans="1:10" ht="12.75" customHeight="1">
      <c r="A35" s="315" t="s">
        <v>949</v>
      </c>
      <c r="B35" s="595">
        <v>0</v>
      </c>
      <c r="C35" s="439" t="s">
        <v>606</v>
      </c>
      <c r="D35" s="303" t="s">
        <v>940</v>
      </c>
      <c r="J35" s="104"/>
    </row>
    <row r="36" spans="1:10" ht="12.75" customHeight="1">
      <c r="A36" s="369" t="s">
        <v>473</v>
      </c>
      <c r="B36" s="469">
        <v>4</v>
      </c>
      <c r="C36" s="439" t="s">
        <v>951</v>
      </c>
      <c r="D36" s="303" t="s">
        <v>952</v>
      </c>
      <c r="F36" s="104"/>
      <c r="J36" s="104"/>
    </row>
    <row r="37" spans="1:10" ht="12.75" customHeight="1">
      <c r="A37" s="315" t="s">
        <v>949</v>
      </c>
      <c r="B37" s="568">
        <f>97+62+50</f>
        <v>209</v>
      </c>
      <c r="C37" s="439" t="s">
        <v>548</v>
      </c>
      <c r="D37" s="303" t="s">
        <v>941</v>
      </c>
      <c r="J37" s="104"/>
    </row>
    <row r="38" spans="1:10" ht="12.75" customHeight="1">
      <c r="A38" s="315" t="s">
        <v>949</v>
      </c>
      <c r="B38" s="469">
        <v>0</v>
      </c>
      <c r="C38" s="439" t="s">
        <v>608</v>
      </c>
      <c r="D38" s="425" t="s">
        <v>285</v>
      </c>
      <c r="F38" s="104"/>
      <c r="J38" s="104"/>
    </row>
    <row r="39" spans="1:10" ht="12.75" customHeight="1">
      <c r="A39" s="315" t="s">
        <v>949</v>
      </c>
      <c r="B39" s="568">
        <v>48</v>
      </c>
      <c r="C39" s="439" t="s">
        <v>609</v>
      </c>
      <c r="D39" s="425" t="s">
        <v>291</v>
      </c>
      <c r="J39" s="104"/>
    </row>
    <row r="40" spans="1:10" ht="12.75" customHeight="1">
      <c r="A40" s="315" t="s">
        <v>949</v>
      </c>
      <c r="B40" s="469">
        <v>0</v>
      </c>
      <c r="C40" s="439" t="s">
        <v>612</v>
      </c>
      <c r="D40" s="303" t="s">
        <v>953</v>
      </c>
      <c r="F40" s="470"/>
      <c r="H40" s="104"/>
      <c r="J40" s="104"/>
    </row>
    <row r="41" spans="1:10" ht="12.75" customHeight="1">
      <c r="A41" s="315" t="s">
        <v>949</v>
      </c>
      <c r="B41" s="469">
        <v>0</v>
      </c>
      <c r="C41" s="439" t="s">
        <v>954</v>
      </c>
      <c r="D41" s="303" t="s">
        <v>955</v>
      </c>
      <c r="J41" s="104"/>
    </row>
    <row r="42" spans="1:10" ht="12.75" customHeight="1">
      <c r="A42" s="315" t="s">
        <v>949</v>
      </c>
      <c r="B42" s="469">
        <f>17+7+15</f>
        <v>39</v>
      </c>
      <c r="C42" s="527" t="s">
        <v>936</v>
      </c>
      <c r="D42" s="425" t="s">
        <v>942</v>
      </c>
      <c r="J42" s="104"/>
    </row>
    <row r="43" spans="1:10" ht="12.75" customHeight="1">
      <c r="A43" s="423" t="s">
        <v>949</v>
      </c>
      <c r="B43" s="469">
        <v>0</v>
      </c>
      <c r="C43" s="527" t="s">
        <v>998</v>
      </c>
      <c r="D43" s="347" t="s">
        <v>999</v>
      </c>
      <c r="J43" s="104"/>
    </row>
    <row r="44" spans="1:10" ht="12.75" customHeight="1">
      <c r="A44" s="315" t="s">
        <v>949</v>
      </c>
      <c r="B44" s="568">
        <v>0</v>
      </c>
      <c r="C44" s="439" t="s">
        <v>554</v>
      </c>
      <c r="D44" s="425" t="s">
        <v>293</v>
      </c>
      <c r="J44" s="104"/>
    </row>
    <row r="45" spans="1:10" ht="12.75" customHeight="1">
      <c r="A45" s="315" t="s">
        <v>949</v>
      </c>
      <c r="B45" s="469">
        <v>0</v>
      </c>
      <c r="C45" s="439" t="s">
        <v>926</v>
      </c>
      <c r="D45" s="303" t="s">
        <v>956</v>
      </c>
      <c r="J45" s="104"/>
    </row>
    <row r="46" spans="1:10" ht="12.75" customHeight="1">
      <c r="A46" s="315" t="s">
        <v>949</v>
      </c>
      <c r="B46" s="469">
        <v>0</v>
      </c>
      <c r="C46" s="439" t="s">
        <v>556</v>
      </c>
      <c r="D46" s="303" t="s">
        <v>957</v>
      </c>
      <c r="J46" s="104"/>
    </row>
    <row r="47" spans="1:10" ht="12.75" customHeight="1">
      <c r="A47" s="315" t="s">
        <v>949</v>
      </c>
      <c r="B47" s="568">
        <v>120</v>
      </c>
      <c r="C47" s="450" t="s">
        <v>558</v>
      </c>
      <c r="D47" s="451" t="s">
        <v>944</v>
      </c>
      <c r="J47" s="104"/>
    </row>
    <row r="48" spans="1:10" ht="12.75" customHeight="1">
      <c r="A48" s="315" t="s">
        <v>949</v>
      </c>
      <c r="B48" s="469">
        <v>0</v>
      </c>
      <c r="C48" s="439" t="s">
        <v>958</v>
      </c>
      <c r="D48" s="303" t="s">
        <v>959</v>
      </c>
      <c r="F48" s="104"/>
      <c r="J48" s="104"/>
    </row>
    <row r="49" spans="1:10" ht="12.75" customHeight="1">
      <c r="A49" s="315" t="s">
        <v>949</v>
      </c>
      <c r="B49" s="568">
        <v>20</v>
      </c>
      <c r="C49" s="439" t="s">
        <v>847</v>
      </c>
      <c r="D49" s="303" t="s">
        <v>848</v>
      </c>
      <c r="J49" s="104"/>
    </row>
    <row r="50" spans="1:10" ht="12.75" customHeight="1">
      <c r="A50" s="315" t="s">
        <v>949</v>
      </c>
      <c r="B50" s="469">
        <v>0</v>
      </c>
      <c r="C50" s="439" t="s">
        <v>560</v>
      </c>
      <c r="D50" s="303" t="s">
        <v>561</v>
      </c>
      <c r="J50" s="104"/>
    </row>
    <row r="51" spans="1:10" ht="12.75" customHeight="1">
      <c r="A51" s="315" t="s">
        <v>949</v>
      </c>
      <c r="B51" s="469">
        <v>0</v>
      </c>
      <c r="C51" s="439" t="s">
        <v>526</v>
      </c>
      <c r="D51" s="303" t="s">
        <v>527</v>
      </c>
      <c r="J51" s="104"/>
    </row>
    <row r="52" spans="1:10" ht="12.75" customHeight="1">
      <c r="A52" s="315" t="s">
        <v>949</v>
      </c>
      <c r="B52" s="469">
        <v>0</v>
      </c>
      <c r="C52" s="439" t="s">
        <v>516</v>
      </c>
      <c r="D52" s="427" t="s">
        <v>625</v>
      </c>
      <c r="F52" s="104"/>
      <c r="J52" s="104"/>
    </row>
    <row r="53" spans="1:10" ht="12.75" customHeight="1">
      <c r="A53" s="315" t="s">
        <v>949</v>
      </c>
      <c r="B53" s="469">
        <v>0</v>
      </c>
      <c r="C53" s="439" t="s">
        <v>851</v>
      </c>
      <c r="D53" s="425" t="s">
        <v>167</v>
      </c>
      <c r="J53" s="104"/>
    </row>
    <row r="54" spans="1:10" ht="12.75" customHeight="1">
      <c r="A54" s="315" t="s">
        <v>949</v>
      </c>
      <c r="B54" s="568">
        <v>0</v>
      </c>
      <c r="C54" s="439" t="s">
        <v>852</v>
      </c>
      <c r="D54" s="425" t="s">
        <v>166</v>
      </c>
      <c r="J54" s="104"/>
    </row>
    <row r="55" spans="1:10" ht="12.75" customHeight="1">
      <c r="A55" s="423" t="s">
        <v>949</v>
      </c>
      <c r="B55" s="469">
        <v>0</v>
      </c>
      <c r="C55" s="527" t="s">
        <v>853</v>
      </c>
      <c r="D55" s="739" t="s">
        <v>214</v>
      </c>
      <c r="J55" s="104"/>
    </row>
    <row r="56" spans="1:10" ht="12.75" customHeight="1">
      <c r="A56" s="315" t="s">
        <v>949</v>
      </c>
      <c r="B56" s="469">
        <v>0</v>
      </c>
      <c r="C56" s="439" t="s">
        <v>881</v>
      </c>
      <c r="D56" s="451" t="s">
        <v>945</v>
      </c>
      <c r="F56" s="104">
        <f>SUM(B29:B57)</f>
        <v>626</v>
      </c>
      <c r="J56" s="104"/>
    </row>
    <row r="57" spans="1:10" ht="12.75" customHeight="1">
      <c r="A57" s="315" t="s">
        <v>949</v>
      </c>
      <c r="B57" s="568">
        <v>35</v>
      </c>
      <c r="C57" s="527" t="s">
        <v>564</v>
      </c>
      <c r="D57" s="303" t="s">
        <v>947</v>
      </c>
      <c r="F57" s="104"/>
      <c r="J57" s="104"/>
    </row>
    <row r="58" spans="1:10" ht="12.75" customHeight="1">
      <c r="A58" s="315" t="s">
        <v>960</v>
      </c>
      <c r="B58" s="469">
        <v>0</v>
      </c>
      <c r="C58" s="527" t="s">
        <v>158</v>
      </c>
      <c r="D58" s="425" t="s">
        <v>172</v>
      </c>
      <c r="J58" s="104"/>
    </row>
    <row r="59" spans="1:10" ht="12.75" customHeight="1">
      <c r="A59" s="369" t="s">
        <v>960</v>
      </c>
      <c r="B59" s="469">
        <v>0</v>
      </c>
      <c r="C59" s="439" t="s">
        <v>606</v>
      </c>
      <c r="D59" s="303" t="s">
        <v>940</v>
      </c>
      <c r="J59" s="104"/>
    </row>
    <row r="60" spans="1:10" ht="12.75" customHeight="1">
      <c r="A60" s="369" t="s">
        <v>960</v>
      </c>
      <c r="B60" s="469">
        <v>0</v>
      </c>
      <c r="C60" s="439" t="s">
        <v>548</v>
      </c>
      <c r="D60" s="303" t="s">
        <v>941</v>
      </c>
      <c r="J60" s="104"/>
    </row>
    <row r="61" spans="1:10" ht="12.75" customHeight="1">
      <c r="A61" s="369" t="s">
        <v>960</v>
      </c>
      <c r="B61" s="469">
        <v>0</v>
      </c>
      <c r="C61" s="439" t="s">
        <v>951</v>
      </c>
      <c r="D61" s="303" t="s">
        <v>952</v>
      </c>
      <c r="J61" s="104"/>
    </row>
    <row r="62" spans="1:10" ht="12.75" customHeight="1">
      <c r="A62" s="369" t="s">
        <v>960</v>
      </c>
      <c r="B62" s="469">
        <v>0</v>
      </c>
      <c r="C62" s="439" t="s">
        <v>609</v>
      </c>
      <c r="D62" s="425" t="s">
        <v>291</v>
      </c>
      <c r="J62" s="104"/>
    </row>
    <row r="63" spans="1:10" ht="12.75" customHeight="1">
      <c r="A63" s="369" t="s">
        <v>474</v>
      </c>
      <c r="B63" s="568">
        <v>1160</v>
      </c>
      <c r="C63" s="450" t="s">
        <v>951</v>
      </c>
      <c r="D63" s="451" t="s">
        <v>952</v>
      </c>
      <c r="F63" s="104">
        <f>B63</f>
        <v>1160</v>
      </c>
      <c r="J63" s="104"/>
    </row>
    <row r="64" spans="1:10" ht="12.75" customHeight="1">
      <c r="A64" s="369" t="s">
        <v>961</v>
      </c>
      <c r="B64" s="568">
        <v>0</v>
      </c>
      <c r="C64" s="439" t="s">
        <v>558</v>
      </c>
      <c r="D64" s="303" t="s">
        <v>944</v>
      </c>
      <c r="J64" s="104"/>
    </row>
    <row r="65" spans="1:10" ht="12.75" customHeight="1">
      <c r="A65" s="369" t="s">
        <v>962</v>
      </c>
      <c r="B65" s="568">
        <v>0</v>
      </c>
      <c r="C65" s="439" t="s">
        <v>523</v>
      </c>
      <c r="D65" s="303" t="s">
        <v>950</v>
      </c>
      <c r="J65" s="104"/>
    </row>
    <row r="66" spans="1:10" ht="12.75" customHeight="1">
      <c r="A66" s="369" t="s">
        <v>962</v>
      </c>
      <c r="B66" s="568">
        <v>61</v>
      </c>
      <c r="C66" s="527" t="s">
        <v>1173</v>
      </c>
      <c r="D66" s="425" t="s">
        <v>55</v>
      </c>
      <c r="J66" s="104"/>
    </row>
    <row r="67" spans="1:10" ht="12.75" customHeight="1">
      <c r="A67" s="369" t="s">
        <v>962</v>
      </c>
      <c r="B67" s="568">
        <v>34</v>
      </c>
      <c r="C67" s="527" t="s">
        <v>157</v>
      </c>
      <c r="D67" s="425" t="s">
        <v>171</v>
      </c>
      <c r="F67" s="104"/>
      <c r="J67" s="104"/>
    </row>
    <row r="68" spans="1:10" ht="12.75" customHeight="1">
      <c r="A68" s="369" t="s">
        <v>962</v>
      </c>
      <c r="B68" s="568">
        <v>0</v>
      </c>
      <c r="C68" s="527" t="s">
        <v>158</v>
      </c>
      <c r="D68" s="425" t="s">
        <v>172</v>
      </c>
      <c r="J68" s="104"/>
    </row>
    <row r="69" spans="1:10" ht="12.75" customHeight="1">
      <c r="A69" s="369" t="s">
        <v>962</v>
      </c>
      <c r="B69" s="568">
        <v>49</v>
      </c>
      <c r="C69" s="439" t="s">
        <v>606</v>
      </c>
      <c r="D69" s="303" t="s">
        <v>940</v>
      </c>
      <c r="E69" s="104"/>
      <c r="J69" s="104"/>
    </row>
    <row r="70" spans="1:10" ht="12.75" customHeight="1">
      <c r="A70" s="369" t="s">
        <v>962</v>
      </c>
      <c r="B70" s="568">
        <v>290</v>
      </c>
      <c r="C70" s="439" t="s">
        <v>951</v>
      </c>
      <c r="D70" s="303" t="s">
        <v>952</v>
      </c>
      <c r="F70" s="104"/>
      <c r="J70" s="104"/>
    </row>
    <row r="71" spans="1:10" ht="12.75" customHeight="1">
      <c r="A71" s="369" t="s">
        <v>962</v>
      </c>
      <c r="B71" s="568">
        <f>1011+25</f>
        <v>1036</v>
      </c>
      <c r="C71" s="439" t="s">
        <v>548</v>
      </c>
      <c r="D71" s="303" t="s">
        <v>941</v>
      </c>
      <c r="F71" s="104"/>
      <c r="J71" s="104"/>
    </row>
    <row r="72" spans="1:10" ht="12.75" customHeight="1">
      <c r="A72" s="369" t="s">
        <v>962</v>
      </c>
      <c r="B72" s="568">
        <v>0</v>
      </c>
      <c r="C72" s="439" t="s">
        <v>608</v>
      </c>
      <c r="D72" s="425" t="s">
        <v>285</v>
      </c>
      <c r="J72" s="104"/>
    </row>
    <row r="73" spans="1:10" ht="12.75" customHeight="1">
      <c r="A73" s="369" t="s">
        <v>962</v>
      </c>
      <c r="B73" s="568">
        <v>12</v>
      </c>
      <c r="C73" s="439" t="s">
        <v>609</v>
      </c>
      <c r="D73" s="425" t="s">
        <v>291</v>
      </c>
      <c r="J73" s="104"/>
    </row>
    <row r="74" spans="1:10" ht="12.75" customHeight="1">
      <c r="A74" s="369" t="s">
        <v>962</v>
      </c>
      <c r="B74" s="568">
        <v>0</v>
      </c>
      <c r="C74" s="439" t="s">
        <v>612</v>
      </c>
      <c r="D74" s="303" t="s">
        <v>953</v>
      </c>
      <c r="J74" s="104"/>
    </row>
    <row r="75" spans="1:10" ht="12.75" customHeight="1">
      <c r="A75" s="369" t="s">
        <v>962</v>
      </c>
      <c r="B75" s="568">
        <v>0</v>
      </c>
      <c r="C75" s="439" t="s">
        <v>954</v>
      </c>
      <c r="D75" s="303" t="s">
        <v>955</v>
      </c>
      <c r="H75" s="104"/>
      <c r="J75" s="104"/>
    </row>
    <row r="76" spans="1:10" ht="12.75" customHeight="1">
      <c r="A76" s="369" t="s">
        <v>962</v>
      </c>
      <c r="B76" s="568">
        <v>46</v>
      </c>
      <c r="C76" s="439" t="s">
        <v>936</v>
      </c>
      <c r="D76" s="303" t="s">
        <v>942</v>
      </c>
      <c r="F76" s="104"/>
      <c r="J76" s="104"/>
    </row>
    <row r="77" spans="1:10" ht="12.75" customHeight="1">
      <c r="A77" s="369" t="s">
        <v>962</v>
      </c>
      <c r="B77" s="568">
        <v>79</v>
      </c>
      <c r="C77" s="439" t="s">
        <v>597</v>
      </c>
      <c r="D77" s="368" t="s">
        <v>765</v>
      </c>
      <c r="F77" s="104"/>
      <c r="J77" s="104"/>
    </row>
    <row r="78" spans="1:10" ht="12.75" customHeight="1">
      <c r="A78" s="369" t="s">
        <v>962</v>
      </c>
      <c r="B78" s="568">
        <v>0</v>
      </c>
      <c r="C78" s="439" t="s">
        <v>875</v>
      </c>
      <c r="D78" s="303" t="s">
        <v>943</v>
      </c>
      <c r="F78" s="104"/>
      <c r="J78" s="104"/>
    </row>
    <row r="79" spans="1:10" ht="12.75" customHeight="1">
      <c r="A79" s="369" t="s">
        <v>962</v>
      </c>
      <c r="B79" s="568">
        <v>127</v>
      </c>
      <c r="C79" s="439" t="s">
        <v>554</v>
      </c>
      <c r="D79" s="425" t="s">
        <v>293</v>
      </c>
      <c r="J79" s="104"/>
    </row>
    <row r="80" spans="1:10" ht="12.75" customHeight="1">
      <c r="A80" s="369" t="s">
        <v>962</v>
      </c>
      <c r="B80" s="568">
        <v>0</v>
      </c>
      <c r="C80" s="439" t="s">
        <v>556</v>
      </c>
      <c r="D80" s="303" t="s">
        <v>957</v>
      </c>
      <c r="J80" s="104"/>
    </row>
    <row r="81" spans="1:10" ht="12.75" customHeight="1">
      <c r="A81" s="369" t="s">
        <v>962</v>
      </c>
      <c r="B81" s="568">
        <v>946</v>
      </c>
      <c r="C81" s="439" t="s">
        <v>558</v>
      </c>
      <c r="D81" s="303" t="s">
        <v>944</v>
      </c>
      <c r="J81" s="104"/>
    </row>
    <row r="82" spans="1:10" ht="12.75" customHeight="1">
      <c r="A82" s="369" t="s">
        <v>962</v>
      </c>
      <c r="B82" s="568">
        <v>56</v>
      </c>
      <c r="C82" s="527" t="s">
        <v>576</v>
      </c>
      <c r="D82" s="425" t="s">
        <v>971</v>
      </c>
      <c r="J82" s="104"/>
    </row>
    <row r="83" spans="1:10" ht="12.75" customHeight="1">
      <c r="A83" s="369" t="s">
        <v>962</v>
      </c>
      <c r="B83" s="568">
        <v>0</v>
      </c>
      <c r="C83" s="439" t="s">
        <v>958</v>
      </c>
      <c r="D83" s="303" t="s">
        <v>959</v>
      </c>
      <c r="H83" s="104"/>
      <c r="J83" s="104"/>
    </row>
    <row r="84" spans="1:10" ht="12.75" customHeight="1">
      <c r="A84" s="369" t="s">
        <v>962</v>
      </c>
      <c r="B84" s="568">
        <v>43</v>
      </c>
      <c r="C84" s="439" t="s">
        <v>847</v>
      </c>
      <c r="D84" s="303" t="s">
        <v>848</v>
      </c>
      <c r="J84" s="104"/>
    </row>
    <row r="85" spans="1:10" ht="12.75" customHeight="1">
      <c r="A85" s="369" t="s">
        <v>962</v>
      </c>
      <c r="B85" s="568">
        <v>0</v>
      </c>
      <c r="C85" s="439" t="s">
        <v>526</v>
      </c>
      <c r="D85" s="303" t="s">
        <v>527</v>
      </c>
      <c r="J85" s="104"/>
    </row>
    <row r="86" spans="1:10" ht="12.75" customHeight="1">
      <c r="A86" s="369" t="s">
        <v>962</v>
      </c>
      <c r="B86" s="568">
        <f>4+24</f>
        <v>28</v>
      </c>
      <c r="C86" s="439" t="s">
        <v>516</v>
      </c>
      <c r="D86" s="427" t="s">
        <v>625</v>
      </c>
      <c r="J86" s="104"/>
    </row>
    <row r="87" spans="1:10" ht="12.75" customHeight="1">
      <c r="A87" s="369" t="s">
        <v>962</v>
      </c>
      <c r="B87" s="568">
        <v>0</v>
      </c>
      <c r="C87" s="439" t="s">
        <v>851</v>
      </c>
      <c r="D87" s="425" t="s">
        <v>167</v>
      </c>
      <c r="J87" s="104"/>
    </row>
    <row r="88" spans="1:10" ht="12.75" customHeight="1">
      <c r="A88" s="369" t="s">
        <v>962</v>
      </c>
      <c r="B88" s="568">
        <v>25</v>
      </c>
      <c r="C88" s="439" t="s">
        <v>852</v>
      </c>
      <c r="D88" s="425" t="s">
        <v>166</v>
      </c>
      <c r="J88" s="104"/>
    </row>
    <row r="89" spans="1:10" ht="12.75" customHeight="1">
      <c r="A89" s="369" t="s">
        <v>962</v>
      </c>
      <c r="B89" s="568">
        <f>850-588</f>
        <v>262</v>
      </c>
      <c r="C89" s="439" t="s">
        <v>853</v>
      </c>
      <c r="D89" s="739" t="s">
        <v>214</v>
      </c>
      <c r="J89" s="104"/>
    </row>
    <row r="90" spans="1:10" ht="12.75" customHeight="1">
      <c r="A90" s="369" t="s">
        <v>962</v>
      </c>
      <c r="B90" s="568">
        <v>0</v>
      </c>
      <c r="C90" s="439" t="s">
        <v>881</v>
      </c>
      <c r="D90" s="451" t="s">
        <v>945</v>
      </c>
      <c r="J90" s="104"/>
    </row>
    <row r="91" spans="1:10" ht="12.75" customHeight="1">
      <c r="A91" s="369" t="s">
        <v>962</v>
      </c>
      <c r="B91" s="568">
        <f>0+25</f>
        <v>25</v>
      </c>
      <c r="C91" s="439" t="s">
        <v>562</v>
      </c>
      <c r="D91" s="303" t="s">
        <v>946</v>
      </c>
      <c r="J91" s="104"/>
    </row>
    <row r="92" spans="1:10" ht="12.75" customHeight="1">
      <c r="A92" s="369" t="s">
        <v>962</v>
      </c>
      <c r="B92" s="568">
        <v>85</v>
      </c>
      <c r="C92" s="439" t="s">
        <v>564</v>
      </c>
      <c r="D92" s="303" t="s">
        <v>947</v>
      </c>
      <c r="F92" s="104">
        <f>SUM(B65:B92)</f>
        <v>3204</v>
      </c>
      <c r="J92" s="104"/>
    </row>
    <row r="93" spans="1:10" ht="12.75" customHeight="1">
      <c r="A93" s="369" t="s">
        <v>963</v>
      </c>
      <c r="B93" s="568">
        <v>0</v>
      </c>
      <c r="C93" s="439" t="s">
        <v>523</v>
      </c>
      <c r="D93" s="303" t="s">
        <v>950</v>
      </c>
      <c r="J93" s="104"/>
    </row>
    <row r="94" spans="1:10" ht="12.75" customHeight="1">
      <c r="A94" s="369" t="s">
        <v>963</v>
      </c>
      <c r="B94" s="568">
        <v>22</v>
      </c>
      <c r="C94" s="527" t="s">
        <v>1173</v>
      </c>
      <c r="D94" s="425" t="s">
        <v>55</v>
      </c>
      <c r="F94" s="104"/>
      <c r="J94" s="104"/>
    </row>
    <row r="95" spans="1:10" ht="12.75" customHeight="1">
      <c r="A95" s="369" t="s">
        <v>963</v>
      </c>
      <c r="B95" s="568">
        <v>12</v>
      </c>
      <c r="C95" s="527" t="s">
        <v>157</v>
      </c>
      <c r="D95" s="425" t="s">
        <v>171</v>
      </c>
      <c r="J95" s="104"/>
    </row>
    <row r="96" spans="1:10" ht="12.75" customHeight="1">
      <c r="A96" s="369" t="s">
        <v>963</v>
      </c>
      <c r="B96" s="568">
        <v>0</v>
      </c>
      <c r="C96" s="527" t="s">
        <v>158</v>
      </c>
      <c r="D96" s="425" t="s">
        <v>172</v>
      </c>
      <c r="J96" s="104"/>
    </row>
    <row r="97" spans="1:10" ht="12.75" customHeight="1">
      <c r="A97" s="369" t="s">
        <v>963</v>
      </c>
      <c r="B97" s="568">
        <v>18</v>
      </c>
      <c r="C97" s="439" t="s">
        <v>606</v>
      </c>
      <c r="D97" s="303" t="s">
        <v>940</v>
      </c>
      <c r="J97" s="104"/>
    </row>
    <row r="98" spans="1:10" ht="12.75" customHeight="1">
      <c r="A98" s="369" t="s">
        <v>963</v>
      </c>
      <c r="B98" s="568">
        <v>104</v>
      </c>
      <c r="C98" s="439" t="s">
        <v>951</v>
      </c>
      <c r="D98" s="303" t="s">
        <v>952</v>
      </c>
      <c r="J98" s="104"/>
    </row>
    <row r="99" spans="1:10" ht="12.75" customHeight="1">
      <c r="A99" s="369" t="s">
        <v>963</v>
      </c>
      <c r="B99" s="568">
        <f>364+9</f>
        <v>373</v>
      </c>
      <c r="C99" s="439" t="s">
        <v>548</v>
      </c>
      <c r="D99" s="303" t="s">
        <v>941</v>
      </c>
      <c r="F99" s="104"/>
      <c r="H99" s="104"/>
      <c r="J99" s="104"/>
    </row>
    <row r="100" spans="1:10" ht="12.75" customHeight="1">
      <c r="A100" s="369" t="s">
        <v>963</v>
      </c>
      <c r="B100" s="568">
        <v>0</v>
      </c>
      <c r="C100" s="439" t="s">
        <v>608</v>
      </c>
      <c r="D100" s="425" t="s">
        <v>285</v>
      </c>
      <c r="J100" s="104"/>
    </row>
    <row r="101" spans="1:10" ht="12.75" customHeight="1">
      <c r="A101" s="369" t="s">
        <v>963</v>
      </c>
      <c r="B101" s="568">
        <v>4</v>
      </c>
      <c r="C101" s="439" t="s">
        <v>609</v>
      </c>
      <c r="D101" s="425" t="s">
        <v>291</v>
      </c>
      <c r="F101" s="104"/>
      <c r="J101" s="104"/>
    </row>
    <row r="102" spans="1:10" ht="12.75" customHeight="1">
      <c r="A102" s="369" t="s">
        <v>963</v>
      </c>
      <c r="B102" s="568">
        <v>0</v>
      </c>
      <c r="C102" s="439" t="s">
        <v>612</v>
      </c>
      <c r="D102" s="303" t="s">
        <v>953</v>
      </c>
      <c r="J102" s="104"/>
    </row>
    <row r="103" spans="1:10" ht="12.75" customHeight="1">
      <c r="A103" s="369" t="s">
        <v>963</v>
      </c>
      <c r="B103" s="568">
        <v>0</v>
      </c>
      <c r="C103" s="439" t="s">
        <v>954</v>
      </c>
      <c r="D103" s="303" t="s">
        <v>955</v>
      </c>
      <c r="F103" s="104"/>
      <c r="J103" s="104"/>
    </row>
    <row r="104" spans="1:10" ht="12.75" customHeight="1">
      <c r="A104" s="369" t="s">
        <v>963</v>
      </c>
      <c r="B104" s="568">
        <v>17</v>
      </c>
      <c r="C104" s="439" t="s">
        <v>936</v>
      </c>
      <c r="D104" s="303" t="s">
        <v>942</v>
      </c>
      <c r="J104" s="104"/>
    </row>
    <row r="105" spans="1:10" ht="12.75" customHeight="1">
      <c r="A105" s="369" t="s">
        <v>963</v>
      </c>
      <c r="B105" s="568">
        <v>28</v>
      </c>
      <c r="C105" s="439" t="s">
        <v>597</v>
      </c>
      <c r="D105" s="368" t="s">
        <v>765</v>
      </c>
      <c r="J105" s="104"/>
    </row>
    <row r="106" spans="1:10" ht="12.75" customHeight="1">
      <c r="A106" s="369" t="s">
        <v>963</v>
      </c>
      <c r="B106" s="568">
        <v>0</v>
      </c>
      <c r="C106" s="439" t="s">
        <v>875</v>
      </c>
      <c r="D106" s="303" t="s">
        <v>943</v>
      </c>
      <c r="J106" s="104"/>
    </row>
    <row r="107" spans="1:10" ht="12.75" customHeight="1">
      <c r="A107" s="369" t="s">
        <v>963</v>
      </c>
      <c r="B107" s="568">
        <v>46</v>
      </c>
      <c r="C107" s="439" t="s">
        <v>554</v>
      </c>
      <c r="D107" s="425" t="s">
        <v>293</v>
      </c>
      <c r="J107" s="104"/>
    </row>
    <row r="108" spans="1:10" ht="12.75" customHeight="1">
      <c r="A108" s="369" t="s">
        <v>963</v>
      </c>
      <c r="B108" s="568">
        <v>0</v>
      </c>
      <c r="C108" s="439" t="s">
        <v>556</v>
      </c>
      <c r="D108" s="303" t="s">
        <v>957</v>
      </c>
      <c r="J108" s="104"/>
    </row>
    <row r="109" spans="1:10" ht="12.75" customHeight="1">
      <c r="A109" s="369" t="s">
        <v>963</v>
      </c>
      <c r="B109" s="568">
        <v>341</v>
      </c>
      <c r="C109" s="439" t="s">
        <v>558</v>
      </c>
      <c r="D109" s="303" t="s">
        <v>944</v>
      </c>
      <c r="F109" s="104"/>
      <c r="J109" s="104"/>
    </row>
    <row r="110" spans="1:10" ht="12.75" customHeight="1">
      <c r="A110" s="369" t="s">
        <v>963</v>
      </c>
      <c r="B110" s="568">
        <v>20</v>
      </c>
      <c r="C110" s="527" t="s">
        <v>576</v>
      </c>
      <c r="D110" s="425" t="s">
        <v>971</v>
      </c>
      <c r="F110" s="104"/>
      <c r="J110" s="104"/>
    </row>
    <row r="111" spans="1:10" ht="12.75" customHeight="1">
      <c r="A111" s="369" t="s">
        <v>963</v>
      </c>
      <c r="B111" s="568">
        <v>0</v>
      </c>
      <c r="C111" s="439" t="s">
        <v>958</v>
      </c>
      <c r="D111" s="303" t="s">
        <v>959</v>
      </c>
      <c r="J111" s="104"/>
    </row>
    <row r="112" spans="1:10" ht="12.75" customHeight="1">
      <c r="A112" s="369" t="s">
        <v>963</v>
      </c>
      <c r="B112" s="568">
        <v>15</v>
      </c>
      <c r="C112" s="439" t="s">
        <v>847</v>
      </c>
      <c r="D112" s="303" t="s">
        <v>848</v>
      </c>
      <c r="J112" s="104"/>
    </row>
    <row r="113" spans="1:10" ht="12.75" customHeight="1">
      <c r="A113" s="369" t="s">
        <v>963</v>
      </c>
      <c r="B113" s="568">
        <v>0</v>
      </c>
      <c r="C113" s="439" t="s">
        <v>526</v>
      </c>
      <c r="D113" s="303" t="s">
        <v>527</v>
      </c>
      <c r="J113" s="104"/>
    </row>
    <row r="114" spans="1:10" ht="12.75" customHeight="1">
      <c r="A114" s="369" t="s">
        <v>963</v>
      </c>
      <c r="B114" s="568">
        <f>1+8</f>
        <v>9</v>
      </c>
      <c r="C114" s="439" t="s">
        <v>516</v>
      </c>
      <c r="D114" s="427" t="s">
        <v>625</v>
      </c>
      <c r="J114" s="104"/>
    </row>
    <row r="115" spans="1:10" ht="12.75" customHeight="1">
      <c r="A115" s="369" t="s">
        <v>963</v>
      </c>
      <c r="B115" s="568">
        <v>0</v>
      </c>
      <c r="C115" s="439" t="s">
        <v>851</v>
      </c>
      <c r="D115" s="425" t="s">
        <v>167</v>
      </c>
      <c r="J115" s="104"/>
    </row>
    <row r="116" spans="1:10" ht="12.75" customHeight="1">
      <c r="A116" s="369" t="s">
        <v>963</v>
      </c>
      <c r="B116" s="568">
        <v>9</v>
      </c>
      <c r="C116" s="439" t="s">
        <v>852</v>
      </c>
      <c r="D116" s="425" t="s">
        <v>166</v>
      </c>
      <c r="J116" s="104"/>
    </row>
    <row r="117" spans="1:10" ht="12.75" customHeight="1">
      <c r="A117" s="369" t="s">
        <v>963</v>
      </c>
      <c r="B117" s="568">
        <f>304-212</f>
        <v>92</v>
      </c>
      <c r="C117" s="439" t="s">
        <v>853</v>
      </c>
      <c r="D117" s="739" t="s">
        <v>214</v>
      </c>
      <c r="J117" s="104"/>
    </row>
    <row r="118" spans="1:10" ht="12.75" customHeight="1">
      <c r="A118" s="369" t="s">
        <v>963</v>
      </c>
      <c r="B118" s="568">
        <v>0</v>
      </c>
      <c r="C118" s="439" t="s">
        <v>881</v>
      </c>
      <c r="D118" s="451" t="s">
        <v>945</v>
      </c>
      <c r="G118" s="104"/>
      <c r="J118" s="104"/>
    </row>
    <row r="119" spans="1:10" ht="12.75" customHeight="1">
      <c r="A119" s="369" t="s">
        <v>963</v>
      </c>
      <c r="B119" s="568">
        <f>0+9</f>
        <v>9</v>
      </c>
      <c r="C119" s="439" t="s">
        <v>562</v>
      </c>
      <c r="D119" s="303" t="s">
        <v>946</v>
      </c>
      <c r="J119" s="104"/>
    </row>
    <row r="120" spans="1:10" ht="12.75" customHeight="1">
      <c r="A120" s="369" t="s">
        <v>963</v>
      </c>
      <c r="B120" s="568">
        <v>31</v>
      </c>
      <c r="C120" s="439" t="s">
        <v>564</v>
      </c>
      <c r="D120" s="303" t="s">
        <v>947</v>
      </c>
      <c r="F120" s="104">
        <f>SUM(B93:B120)</f>
        <v>1150</v>
      </c>
      <c r="J120" s="104"/>
    </row>
    <row r="121" spans="1:10" ht="12.75" customHeight="1">
      <c r="A121" s="370" t="s">
        <v>964</v>
      </c>
      <c r="B121" s="568">
        <v>50</v>
      </c>
      <c r="C121" s="440" t="s">
        <v>548</v>
      </c>
      <c r="D121" s="299" t="s">
        <v>941</v>
      </c>
      <c r="J121" s="104"/>
    </row>
    <row r="122" spans="1:10" ht="12.75" customHeight="1">
      <c r="A122" s="370" t="s">
        <v>964</v>
      </c>
      <c r="B122" s="568">
        <v>1</v>
      </c>
      <c r="C122" s="671" t="s">
        <v>936</v>
      </c>
      <c r="D122" s="427" t="s">
        <v>942</v>
      </c>
      <c r="J122" s="104"/>
    </row>
    <row r="123" spans="1:10" ht="12.75" customHeight="1">
      <c r="A123" s="370" t="s">
        <v>965</v>
      </c>
      <c r="B123" s="469">
        <v>0</v>
      </c>
      <c r="C123" s="439" t="s">
        <v>606</v>
      </c>
      <c r="D123" s="303" t="s">
        <v>940</v>
      </c>
      <c r="J123" s="104"/>
    </row>
    <row r="124" spans="1:10" ht="12.75" customHeight="1" thickBot="1">
      <c r="A124" s="370" t="s">
        <v>965</v>
      </c>
      <c r="B124" s="569">
        <v>0</v>
      </c>
      <c r="C124" s="699" t="s">
        <v>609</v>
      </c>
      <c r="D124" s="700" t="s">
        <v>291</v>
      </c>
      <c r="F124" s="104"/>
      <c r="J124" s="104"/>
    </row>
    <row r="125" spans="1:10" ht="13.5" thickBot="1">
      <c r="A125" s="371" t="s">
        <v>358</v>
      </c>
      <c r="B125" s="484">
        <f>SUM(B9:B124)</f>
        <v>20812</v>
      </c>
      <c r="C125" s="320"/>
      <c r="D125" s="372"/>
      <c r="J125" s="104"/>
    </row>
    <row r="126" spans="1:10" ht="7.5" customHeight="1">
      <c r="A126" s="373"/>
      <c r="B126" s="374"/>
      <c r="C126" s="308"/>
      <c r="J126" s="104"/>
    </row>
    <row r="127" spans="1:10" ht="8.25" customHeight="1">
      <c r="A127" s="373"/>
      <c r="B127" s="374"/>
      <c r="C127" s="308"/>
      <c r="J127" s="104"/>
    </row>
    <row r="128" spans="1:10" ht="8.25" customHeight="1">
      <c r="A128" s="373"/>
      <c r="B128" s="374"/>
      <c r="C128" s="308"/>
      <c r="J128" s="104"/>
    </row>
    <row r="129" spans="1:10" ht="19.5" thickBot="1">
      <c r="A129" s="307" t="s">
        <v>966</v>
      </c>
      <c r="B129" s="238"/>
      <c r="C129" s="308"/>
      <c r="J129" s="104"/>
    </row>
    <row r="130" spans="1:10" ht="12.75">
      <c r="A130" s="292" t="s">
        <v>500</v>
      </c>
      <c r="B130" s="1029" t="s">
        <v>1219</v>
      </c>
      <c r="C130" s="375" t="s">
        <v>502</v>
      </c>
      <c r="D130" s="292" t="s">
        <v>503</v>
      </c>
      <c r="J130" s="104"/>
    </row>
    <row r="131" spans="1:10" ht="13.5" thickBot="1">
      <c r="A131" s="295"/>
      <c r="B131" s="296" t="s">
        <v>695</v>
      </c>
      <c r="C131" s="296" t="s">
        <v>504</v>
      </c>
      <c r="D131" s="295"/>
      <c r="J131" s="104"/>
    </row>
    <row r="132" spans="1:10" ht="12.75">
      <c r="A132" s="359" t="s">
        <v>967</v>
      </c>
      <c r="B132" s="605">
        <v>35</v>
      </c>
      <c r="C132" s="445" t="s">
        <v>606</v>
      </c>
      <c r="D132" s="346" t="s">
        <v>940</v>
      </c>
      <c r="J132" s="104"/>
    </row>
    <row r="133" spans="1:10" ht="12.75">
      <c r="A133" s="359" t="s">
        <v>967</v>
      </c>
      <c r="B133" s="538">
        <v>0</v>
      </c>
      <c r="C133" s="445" t="s">
        <v>875</v>
      </c>
      <c r="D133" s="346" t="s">
        <v>943</v>
      </c>
      <c r="J133" s="104"/>
    </row>
    <row r="134" spans="1:10" ht="12.75">
      <c r="A134" s="315" t="s">
        <v>967</v>
      </c>
      <c r="B134" s="568">
        <v>3</v>
      </c>
      <c r="C134" s="434" t="s">
        <v>554</v>
      </c>
      <c r="D134" s="425" t="s">
        <v>293</v>
      </c>
      <c r="J134" s="104"/>
    </row>
    <row r="135" spans="1:10" ht="12.75">
      <c r="A135" s="315" t="s">
        <v>967</v>
      </c>
      <c r="B135" s="469">
        <v>0</v>
      </c>
      <c r="C135" s="434" t="s">
        <v>541</v>
      </c>
      <c r="D135" s="303" t="s">
        <v>969</v>
      </c>
      <c r="J135" s="104"/>
    </row>
    <row r="136" spans="1:10" ht="12.75">
      <c r="A136" s="315" t="s">
        <v>967</v>
      </c>
      <c r="B136" s="469">
        <v>0</v>
      </c>
      <c r="C136" s="434" t="s">
        <v>864</v>
      </c>
      <c r="D136" s="303" t="s">
        <v>970</v>
      </c>
      <c r="J136" s="104"/>
    </row>
    <row r="137" spans="1:10" ht="12.75">
      <c r="A137" s="315" t="s">
        <v>967</v>
      </c>
      <c r="B137" s="469">
        <v>0</v>
      </c>
      <c r="C137" s="435" t="s">
        <v>159</v>
      </c>
      <c r="D137" s="425" t="s">
        <v>170</v>
      </c>
      <c r="J137" s="104"/>
    </row>
    <row r="138" spans="1:10" ht="12.75">
      <c r="A138" s="423" t="s">
        <v>967</v>
      </c>
      <c r="B138" s="568">
        <v>5</v>
      </c>
      <c r="C138" s="435" t="s">
        <v>548</v>
      </c>
      <c r="D138" s="425" t="s">
        <v>941</v>
      </c>
      <c r="F138" s="104"/>
      <c r="J138" s="104"/>
    </row>
    <row r="139" spans="1:10" ht="12.75">
      <c r="A139" s="315" t="s">
        <v>967</v>
      </c>
      <c r="B139" s="568">
        <v>40</v>
      </c>
      <c r="C139" s="434" t="s">
        <v>558</v>
      </c>
      <c r="D139" s="303" t="s">
        <v>944</v>
      </c>
      <c r="F139" s="104"/>
      <c r="J139" s="104"/>
    </row>
    <row r="140" spans="1:10" ht="12.75">
      <c r="A140" s="315" t="s">
        <v>967</v>
      </c>
      <c r="B140" s="469">
        <v>0</v>
      </c>
      <c r="C140" s="434" t="s">
        <v>576</v>
      </c>
      <c r="D140" s="303" t="s">
        <v>971</v>
      </c>
      <c r="J140" s="104"/>
    </row>
    <row r="141" spans="1:10" ht="12.75">
      <c r="A141" s="315" t="s">
        <v>967</v>
      </c>
      <c r="B141" s="568">
        <v>2</v>
      </c>
      <c r="C141" s="434" t="s">
        <v>847</v>
      </c>
      <c r="D141" s="303" t="s">
        <v>848</v>
      </c>
      <c r="J141" s="104"/>
    </row>
    <row r="142" spans="1:10" ht="12.75">
      <c r="A142" s="315" t="s">
        <v>967</v>
      </c>
      <c r="B142" s="469">
        <v>0</v>
      </c>
      <c r="C142" s="434" t="s">
        <v>516</v>
      </c>
      <c r="D142" s="427" t="s">
        <v>625</v>
      </c>
      <c r="J142" s="104"/>
    </row>
    <row r="143" spans="1:10" ht="12.75">
      <c r="A143" s="315" t="s">
        <v>967</v>
      </c>
      <c r="B143" s="469">
        <v>0</v>
      </c>
      <c r="C143" s="434" t="s">
        <v>852</v>
      </c>
      <c r="D143" s="425" t="s">
        <v>166</v>
      </c>
      <c r="J143" s="104"/>
    </row>
    <row r="144" spans="1:10" ht="12.75">
      <c r="A144" s="315" t="s">
        <v>967</v>
      </c>
      <c r="B144" s="469">
        <v>0</v>
      </c>
      <c r="C144" s="434" t="s">
        <v>851</v>
      </c>
      <c r="D144" s="425" t="s">
        <v>167</v>
      </c>
      <c r="F144" s="104">
        <f>SUM(B132:B144)</f>
        <v>85</v>
      </c>
      <c r="J144" s="104"/>
    </row>
    <row r="145" spans="1:10" ht="12.75">
      <c r="A145" s="315" t="s">
        <v>972</v>
      </c>
      <c r="B145" s="568">
        <v>0</v>
      </c>
      <c r="C145" s="434" t="s">
        <v>548</v>
      </c>
      <c r="D145" s="303" t="s">
        <v>941</v>
      </c>
      <c r="F145" s="104">
        <f>SUM(B145:E145)</f>
        <v>0</v>
      </c>
      <c r="J145" s="104"/>
    </row>
    <row r="146" spans="1:10" ht="12.75">
      <c r="A146" s="349">
        <v>5131</v>
      </c>
      <c r="B146" s="469">
        <v>0</v>
      </c>
      <c r="C146" s="439" t="s">
        <v>973</v>
      </c>
      <c r="D146" s="303" t="s">
        <v>974</v>
      </c>
      <c r="J146" s="104"/>
    </row>
    <row r="147" spans="1:10" ht="12.75">
      <c r="A147" s="315" t="s">
        <v>975</v>
      </c>
      <c r="B147" s="469">
        <v>5</v>
      </c>
      <c r="C147" s="527" t="s">
        <v>1173</v>
      </c>
      <c r="D147" s="425" t="s">
        <v>55</v>
      </c>
      <c r="J147" s="104"/>
    </row>
    <row r="148" spans="1:10" ht="12.75">
      <c r="A148" s="315" t="s">
        <v>975</v>
      </c>
      <c r="B148" s="568">
        <v>8</v>
      </c>
      <c r="C148" s="527" t="s">
        <v>157</v>
      </c>
      <c r="D148" s="425" t="s">
        <v>171</v>
      </c>
      <c r="J148" s="104"/>
    </row>
    <row r="149" spans="1:10" ht="12.75">
      <c r="A149" s="315" t="s">
        <v>975</v>
      </c>
      <c r="B149" s="568">
        <v>0</v>
      </c>
      <c r="C149" s="527" t="s">
        <v>158</v>
      </c>
      <c r="D149" s="425" t="s">
        <v>172</v>
      </c>
      <c r="J149" s="104"/>
    </row>
    <row r="150" spans="1:10" ht="12.75">
      <c r="A150" s="302" t="s">
        <v>975</v>
      </c>
      <c r="B150" s="472">
        <v>0</v>
      </c>
      <c r="C150" s="440" t="s">
        <v>954</v>
      </c>
      <c r="D150" s="299" t="s">
        <v>955</v>
      </c>
      <c r="J150" s="104"/>
    </row>
    <row r="151" spans="1:10" ht="12.75">
      <c r="A151" s="315" t="s">
        <v>975</v>
      </c>
      <c r="B151" s="568">
        <f>58+40</f>
        <v>98</v>
      </c>
      <c r="C151" s="439" t="s">
        <v>606</v>
      </c>
      <c r="D151" s="303" t="s">
        <v>940</v>
      </c>
      <c r="J151" s="104"/>
    </row>
    <row r="152" spans="1:10" ht="12.75">
      <c r="A152" s="359" t="s">
        <v>975</v>
      </c>
      <c r="B152" s="605">
        <v>250</v>
      </c>
      <c r="C152" s="438" t="s">
        <v>548</v>
      </c>
      <c r="D152" s="346" t="s">
        <v>941</v>
      </c>
      <c r="J152" s="104"/>
    </row>
    <row r="153" spans="1:10" ht="12.75">
      <c r="A153" s="315" t="s">
        <v>975</v>
      </c>
      <c r="B153" s="568">
        <v>0</v>
      </c>
      <c r="C153" s="439" t="s">
        <v>976</v>
      </c>
      <c r="D153" s="303" t="s">
        <v>977</v>
      </c>
      <c r="F153" s="104"/>
      <c r="J153" s="104"/>
    </row>
    <row r="154" spans="1:10" ht="12.75">
      <c r="A154" s="315" t="s">
        <v>975</v>
      </c>
      <c r="B154" s="469">
        <v>0</v>
      </c>
      <c r="C154" s="439" t="s">
        <v>541</v>
      </c>
      <c r="D154" s="303" t="s">
        <v>969</v>
      </c>
      <c r="F154" s="430"/>
      <c r="H154" s="104"/>
      <c r="J154" s="104"/>
    </row>
    <row r="155" spans="1:10" ht="12.75">
      <c r="A155" s="315" t="s">
        <v>975</v>
      </c>
      <c r="B155" s="469">
        <v>0</v>
      </c>
      <c r="C155" s="439" t="s">
        <v>609</v>
      </c>
      <c r="D155" s="425" t="s">
        <v>291</v>
      </c>
      <c r="F155" s="430"/>
      <c r="J155" s="104"/>
    </row>
    <row r="156" spans="1:10" ht="12.75">
      <c r="A156" s="315" t="s">
        <v>975</v>
      </c>
      <c r="B156" s="469">
        <v>0</v>
      </c>
      <c r="C156" s="439" t="s">
        <v>610</v>
      </c>
      <c r="D156" s="303" t="s">
        <v>978</v>
      </c>
      <c r="F156" s="240"/>
      <c r="J156" s="104"/>
    </row>
    <row r="157" spans="1:10" ht="12.75">
      <c r="A157" s="315" t="s">
        <v>975</v>
      </c>
      <c r="B157" s="469">
        <v>0</v>
      </c>
      <c r="C157" s="527" t="s">
        <v>936</v>
      </c>
      <c r="D157" s="303" t="s">
        <v>942</v>
      </c>
      <c r="F157" s="240"/>
      <c r="J157" s="104"/>
    </row>
    <row r="158" spans="1:10" ht="12.75">
      <c r="A158" s="315" t="s">
        <v>975</v>
      </c>
      <c r="B158" s="469">
        <v>0</v>
      </c>
      <c r="C158" s="439" t="s">
        <v>576</v>
      </c>
      <c r="D158" s="303" t="s">
        <v>971</v>
      </c>
      <c r="F158" s="240"/>
      <c r="J158" s="104"/>
    </row>
    <row r="159" spans="1:10" ht="12.75">
      <c r="A159" s="315" t="s">
        <v>975</v>
      </c>
      <c r="B159" s="568">
        <v>12</v>
      </c>
      <c r="C159" s="439" t="s">
        <v>958</v>
      </c>
      <c r="D159" s="303" t="s">
        <v>959</v>
      </c>
      <c r="J159" s="104"/>
    </row>
    <row r="160" spans="1:10" ht="12.75">
      <c r="A160" s="315" t="s">
        <v>975</v>
      </c>
      <c r="B160" s="568">
        <v>20</v>
      </c>
      <c r="C160" s="439" t="s">
        <v>875</v>
      </c>
      <c r="D160" s="303" t="s">
        <v>943</v>
      </c>
      <c r="J160" s="104"/>
    </row>
    <row r="161" spans="1:10" ht="12.75">
      <c r="A161" s="315" t="s">
        <v>975</v>
      </c>
      <c r="B161" s="568">
        <v>0</v>
      </c>
      <c r="C161" s="439" t="s">
        <v>554</v>
      </c>
      <c r="D161" s="425" t="s">
        <v>293</v>
      </c>
      <c r="F161" s="104"/>
      <c r="J161" s="104"/>
    </row>
    <row r="162" spans="1:10" ht="12.75">
      <c r="A162" s="315" t="s">
        <v>975</v>
      </c>
      <c r="B162" s="469">
        <v>0</v>
      </c>
      <c r="C162" s="439" t="s">
        <v>926</v>
      </c>
      <c r="D162" s="303" t="s">
        <v>979</v>
      </c>
      <c r="J162" s="104"/>
    </row>
    <row r="163" spans="1:10" ht="12.75">
      <c r="A163" s="315" t="s">
        <v>975</v>
      </c>
      <c r="B163" s="1039">
        <f>35</f>
        <v>35</v>
      </c>
      <c r="C163" s="439" t="s">
        <v>558</v>
      </c>
      <c r="D163" s="303" t="s">
        <v>944</v>
      </c>
      <c r="J163" s="104"/>
    </row>
    <row r="164" spans="1:10" ht="12.75">
      <c r="A164" s="315" t="s">
        <v>975</v>
      </c>
      <c r="B164" s="568">
        <v>15</v>
      </c>
      <c r="C164" s="439" t="s">
        <v>847</v>
      </c>
      <c r="D164" s="303" t="s">
        <v>848</v>
      </c>
      <c r="J164" s="104"/>
    </row>
    <row r="165" spans="1:10" ht="12.75">
      <c r="A165" s="315" t="s">
        <v>975</v>
      </c>
      <c r="B165" s="568">
        <v>20</v>
      </c>
      <c r="C165" s="439" t="s">
        <v>560</v>
      </c>
      <c r="D165" s="303" t="s">
        <v>561</v>
      </c>
      <c r="J165" s="104"/>
    </row>
    <row r="166" spans="1:10" ht="12.75">
      <c r="A166" s="315" t="s">
        <v>975</v>
      </c>
      <c r="B166" s="469">
        <v>18</v>
      </c>
      <c r="C166" s="439" t="s">
        <v>980</v>
      </c>
      <c r="D166" s="303" t="s">
        <v>981</v>
      </c>
      <c r="J166" s="104"/>
    </row>
    <row r="167" spans="1:10" ht="12.75">
      <c r="A167" s="315" t="s">
        <v>975</v>
      </c>
      <c r="B167" s="469">
        <v>2</v>
      </c>
      <c r="C167" s="439" t="s">
        <v>516</v>
      </c>
      <c r="D167" s="427" t="s">
        <v>625</v>
      </c>
      <c r="J167" s="104"/>
    </row>
    <row r="168" spans="1:10" ht="12.75">
      <c r="A168" s="315" t="s">
        <v>975</v>
      </c>
      <c r="B168" s="469">
        <v>0</v>
      </c>
      <c r="C168" s="439" t="s">
        <v>851</v>
      </c>
      <c r="D168" s="425" t="s">
        <v>167</v>
      </c>
      <c r="J168" s="104"/>
    </row>
    <row r="169" spans="1:10" ht="12.75">
      <c r="A169" s="315" t="s">
        <v>975</v>
      </c>
      <c r="B169" s="568">
        <v>0</v>
      </c>
      <c r="C169" s="439" t="s">
        <v>852</v>
      </c>
      <c r="D169" s="425" t="s">
        <v>166</v>
      </c>
      <c r="J169" s="104"/>
    </row>
    <row r="170" spans="1:10" ht="12.75">
      <c r="A170" s="315" t="s">
        <v>975</v>
      </c>
      <c r="B170" s="568">
        <v>10</v>
      </c>
      <c r="C170" s="439" t="s">
        <v>564</v>
      </c>
      <c r="D170" s="303" t="s">
        <v>947</v>
      </c>
      <c r="J170" s="104"/>
    </row>
    <row r="171" spans="1:10" ht="12.75">
      <c r="A171" s="315" t="s">
        <v>975</v>
      </c>
      <c r="B171" s="469">
        <v>0</v>
      </c>
      <c r="C171" s="439" t="s">
        <v>565</v>
      </c>
      <c r="D171" s="299" t="s">
        <v>982</v>
      </c>
      <c r="J171" s="104"/>
    </row>
    <row r="172" spans="1:10" ht="12.75">
      <c r="A172" s="315" t="s">
        <v>975</v>
      </c>
      <c r="B172" s="469">
        <v>0</v>
      </c>
      <c r="C172" s="439" t="s">
        <v>562</v>
      </c>
      <c r="D172" s="303" t="s">
        <v>946</v>
      </c>
      <c r="F172" s="430">
        <f>SUM(B147:B172)</f>
        <v>493</v>
      </c>
      <c r="J172" s="104"/>
    </row>
    <row r="173" spans="1:10" ht="12.75">
      <c r="A173" s="315" t="s">
        <v>983</v>
      </c>
      <c r="B173" s="469">
        <v>0</v>
      </c>
      <c r="C173" s="439" t="s">
        <v>609</v>
      </c>
      <c r="D173" s="425" t="s">
        <v>291</v>
      </c>
      <c r="J173" s="104"/>
    </row>
    <row r="174" spans="1:10" ht="12.75">
      <c r="A174" s="315" t="s">
        <v>984</v>
      </c>
      <c r="B174" s="469">
        <v>0</v>
      </c>
      <c r="C174" s="439" t="s">
        <v>604</v>
      </c>
      <c r="D174" s="376" t="s">
        <v>985</v>
      </c>
      <c r="J174" s="104"/>
    </row>
    <row r="175" spans="1:10" ht="12.75">
      <c r="A175" s="315" t="s">
        <v>984</v>
      </c>
      <c r="B175" s="469">
        <v>0</v>
      </c>
      <c r="C175" s="527" t="s">
        <v>1173</v>
      </c>
      <c r="D175" s="425" t="s">
        <v>55</v>
      </c>
      <c r="J175" s="104"/>
    </row>
    <row r="176" spans="1:10" ht="12.75">
      <c r="A176" s="315" t="s">
        <v>984</v>
      </c>
      <c r="B176" s="568">
        <v>0</v>
      </c>
      <c r="C176" s="435" t="s">
        <v>159</v>
      </c>
      <c r="D176" s="425" t="s">
        <v>170</v>
      </c>
      <c r="J176" s="104"/>
    </row>
    <row r="177" spans="1:10" ht="12.75">
      <c r="A177" s="315" t="s">
        <v>984</v>
      </c>
      <c r="B177" s="568">
        <v>62</v>
      </c>
      <c r="C177" s="527" t="s">
        <v>157</v>
      </c>
      <c r="D177" s="425" t="s">
        <v>171</v>
      </c>
      <c r="J177" s="104"/>
    </row>
    <row r="178" spans="1:10" ht="12.75">
      <c r="A178" s="302" t="s">
        <v>984</v>
      </c>
      <c r="B178" s="756">
        <v>0</v>
      </c>
      <c r="C178" s="671" t="s">
        <v>158</v>
      </c>
      <c r="D178" s="427" t="s">
        <v>172</v>
      </c>
      <c r="J178" s="104"/>
    </row>
    <row r="179" spans="1:10" ht="12.75">
      <c r="A179" s="315" t="s">
        <v>984</v>
      </c>
      <c r="B179" s="568">
        <v>0</v>
      </c>
      <c r="C179" s="439" t="s">
        <v>606</v>
      </c>
      <c r="D179" s="303" t="s">
        <v>940</v>
      </c>
      <c r="F179" s="104"/>
      <c r="G179" s="104"/>
      <c r="J179" s="104"/>
    </row>
    <row r="180" spans="1:10" ht="12.75">
      <c r="A180" s="359" t="s">
        <v>984</v>
      </c>
      <c r="B180" s="605">
        <v>25</v>
      </c>
      <c r="C180" s="438" t="s">
        <v>548</v>
      </c>
      <c r="D180" s="346" t="s">
        <v>941</v>
      </c>
      <c r="J180" s="104"/>
    </row>
    <row r="181" spans="1:10" ht="12.75">
      <c r="A181" s="315" t="s">
        <v>984</v>
      </c>
      <c r="B181" s="568">
        <v>40</v>
      </c>
      <c r="C181" s="439" t="s">
        <v>609</v>
      </c>
      <c r="D181" s="425" t="s">
        <v>291</v>
      </c>
      <c r="F181" s="104"/>
      <c r="J181" s="104"/>
    </row>
    <row r="182" spans="1:10" ht="12.75">
      <c r="A182" s="315" t="s">
        <v>984</v>
      </c>
      <c r="B182" s="469">
        <v>0</v>
      </c>
      <c r="C182" s="439" t="s">
        <v>954</v>
      </c>
      <c r="D182" s="303" t="s">
        <v>955</v>
      </c>
      <c r="F182" s="104"/>
      <c r="H182" s="104"/>
      <c r="J182" s="104"/>
    </row>
    <row r="183" spans="1:10" ht="12.75">
      <c r="A183" s="315" t="s">
        <v>984</v>
      </c>
      <c r="B183" s="568">
        <v>0</v>
      </c>
      <c r="C183" s="439" t="s">
        <v>875</v>
      </c>
      <c r="D183" s="303" t="s">
        <v>943</v>
      </c>
      <c r="J183" s="104"/>
    </row>
    <row r="184" spans="1:10" ht="12.75">
      <c r="A184" s="315" t="s">
        <v>984</v>
      </c>
      <c r="B184" s="568">
        <v>1</v>
      </c>
      <c r="C184" s="439" t="s">
        <v>554</v>
      </c>
      <c r="D184" s="425" t="s">
        <v>293</v>
      </c>
      <c r="F184" s="104"/>
      <c r="J184" s="104"/>
    </row>
    <row r="185" spans="1:10" ht="12.75">
      <c r="A185" s="315" t="s">
        <v>984</v>
      </c>
      <c r="B185" s="568">
        <v>0</v>
      </c>
      <c r="C185" s="439" t="s">
        <v>558</v>
      </c>
      <c r="D185" s="303" t="s">
        <v>944</v>
      </c>
      <c r="J185" s="104"/>
    </row>
    <row r="186" spans="1:10" ht="12.75">
      <c r="A186" s="315" t="s">
        <v>984</v>
      </c>
      <c r="B186" s="568">
        <v>0</v>
      </c>
      <c r="C186" s="527" t="s">
        <v>576</v>
      </c>
      <c r="D186" s="425" t="s">
        <v>971</v>
      </c>
      <c r="J186" s="104"/>
    </row>
    <row r="187" spans="1:10" ht="12.75">
      <c r="A187" s="315" t="s">
        <v>984</v>
      </c>
      <c r="B187" s="568">
        <v>0</v>
      </c>
      <c r="C187" s="439" t="s">
        <v>958</v>
      </c>
      <c r="D187" s="303" t="s">
        <v>959</v>
      </c>
      <c r="J187" s="104"/>
    </row>
    <row r="188" spans="1:10" ht="12.75">
      <c r="A188" s="315" t="s">
        <v>984</v>
      </c>
      <c r="B188" s="469">
        <v>0</v>
      </c>
      <c r="C188" s="439" t="s">
        <v>851</v>
      </c>
      <c r="D188" s="425" t="s">
        <v>167</v>
      </c>
      <c r="F188" s="104">
        <f>SUM(B174:B188)</f>
        <v>128</v>
      </c>
      <c r="J188" s="104"/>
    </row>
    <row r="189" spans="1:10" ht="12.75">
      <c r="A189" s="315" t="s">
        <v>986</v>
      </c>
      <c r="B189" s="568">
        <v>30</v>
      </c>
      <c r="C189" s="439" t="s">
        <v>523</v>
      </c>
      <c r="D189" s="303" t="s">
        <v>950</v>
      </c>
      <c r="J189" s="104"/>
    </row>
    <row r="190" spans="1:10" ht="12.75">
      <c r="A190" s="315" t="s">
        <v>986</v>
      </c>
      <c r="B190" s="469">
        <v>0</v>
      </c>
      <c r="C190" s="439" t="s">
        <v>570</v>
      </c>
      <c r="D190" s="303" t="s">
        <v>993</v>
      </c>
      <c r="J190" s="104"/>
    </row>
    <row r="191" spans="1:10" ht="12.75">
      <c r="A191" s="315" t="s">
        <v>986</v>
      </c>
      <c r="B191" s="568">
        <f>330+21+9</f>
        <v>360</v>
      </c>
      <c r="C191" s="439" t="s">
        <v>541</v>
      </c>
      <c r="D191" s="303" t="s">
        <v>969</v>
      </c>
      <c r="J191" s="104"/>
    </row>
    <row r="192" spans="1:10" ht="12.75">
      <c r="A192" s="315" t="s">
        <v>986</v>
      </c>
      <c r="B192" s="469">
        <v>0</v>
      </c>
      <c r="C192" s="439" t="s">
        <v>585</v>
      </c>
      <c r="D192" s="303" t="s">
        <v>994</v>
      </c>
      <c r="J192" s="104"/>
    </row>
    <row r="193" spans="1:10" ht="12.75">
      <c r="A193" s="315" t="s">
        <v>986</v>
      </c>
      <c r="B193" s="469">
        <v>0</v>
      </c>
      <c r="C193" s="439" t="s">
        <v>604</v>
      </c>
      <c r="D193" s="376" t="s">
        <v>985</v>
      </c>
      <c r="J193" s="104"/>
    </row>
    <row r="194" spans="1:10" ht="12.75">
      <c r="A194" s="315" t="s">
        <v>986</v>
      </c>
      <c r="B194" s="1039">
        <f>20+46</f>
        <v>66</v>
      </c>
      <c r="C194" s="527" t="s">
        <v>1173</v>
      </c>
      <c r="D194" s="425" t="s">
        <v>55</v>
      </c>
      <c r="J194" s="104"/>
    </row>
    <row r="195" spans="1:10" ht="12.75">
      <c r="A195" s="315" t="s">
        <v>986</v>
      </c>
      <c r="B195" s="568">
        <v>26</v>
      </c>
      <c r="C195" s="435" t="s">
        <v>159</v>
      </c>
      <c r="D195" s="425" t="s">
        <v>170</v>
      </c>
      <c r="J195" s="104"/>
    </row>
    <row r="196" spans="1:10" ht="12.75">
      <c r="A196" s="315" t="s">
        <v>986</v>
      </c>
      <c r="B196" s="568">
        <v>5</v>
      </c>
      <c r="C196" s="527" t="s">
        <v>157</v>
      </c>
      <c r="D196" s="425" t="s">
        <v>171</v>
      </c>
      <c r="J196" s="104"/>
    </row>
    <row r="197" spans="1:10" ht="12.75">
      <c r="A197" s="302" t="s">
        <v>986</v>
      </c>
      <c r="B197" s="756">
        <v>41</v>
      </c>
      <c r="C197" s="671" t="s">
        <v>158</v>
      </c>
      <c r="D197" s="427" t="s">
        <v>172</v>
      </c>
      <c r="J197" s="104"/>
    </row>
    <row r="198" spans="1:10" ht="12.75">
      <c r="A198" s="302" t="s">
        <v>986</v>
      </c>
      <c r="B198" s="756">
        <v>0</v>
      </c>
      <c r="C198" s="671" t="s">
        <v>476</v>
      </c>
      <c r="D198" s="427" t="s">
        <v>485</v>
      </c>
      <c r="J198" s="104"/>
    </row>
    <row r="199" spans="1:10" ht="12.75">
      <c r="A199" s="315" t="s">
        <v>986</v>
      </c>
      <c r="B199" s="568">
        <f>35+46.5+4</f>
        <v>85.5</v>
      </c>
      <c r="C199" s="439" t="s">
        <v>606</v>
      </c>
      <c r="D199" s="303" t="s">
        <v>940</v>
      </c>
      <c r="F199" s="104"/>
      <c r="J199" s="104"/>
    </row>
    <row r="200" spans="1:10" ht="12.75">
      <c r="A200" s="359" t="s">
        <v>986</v>
      </c>
      <c r="B200" s="605">
        <f>150+5+2+4</f>
        <v>161</v>
      </c>
      <c r="C200" s="438" t="s">
        <v>548</v>
      </c>
      <c r="D200" s="346" t="s">
        <v>941</v>
      </c>
      <c r="F200" s="104"/>
      <c r="G200" s="104"/>
      <c r="J200" s="104"/>
    </row>
    <row r="201" spans="1:10" ht="12.75">
      <c r="A201" s="315" t="s">
        <v>986</v>
      </c>
      <c r="B201" s="469">
        <v>0</v>
      </c>
      <c r="C201" s="439" t="s">
        <v>608</v>
      </c>
      <c r="D201" s="425" t="s">
        <v>285</v>
      </c>
      <c r="F201" s="104"/>
      <c r="J201" s="104"/>
    </row>
    <row r="202" spans="1:10" ht="12.75">
      <c r="A202" s="315" t="s">
        <v>986</v>
      </c>
      <c r="B202" s="568">
        <v>70</v>
      </c>
      <c r="C202" s="439" t="s">
        <v>609</v>
      </c>
      <c r="D202" s="425" t="s">
        <v>291</v>
      </c>
      <c r="F202" s="104"/>
      <c r="J202" s="104"/>
    </row>
    <row r="203" spans="1:10" ht="12.75">
      <c r="A203" s="315" t="s">
        <v>986</v>
      </c>
      <c r="B203" s="568">
        <v>25</v>
      </c>
      <c r="C203" s="439" t="s">
        <v>610</v>
      </c>
      <c r="D203" s="303" t="s">
        <v>978</v>
      </c>
      <c r="J203" s="104"/>
    </row>
    <row r="204" spans="1:10" ht="12.75">
      <c r="A204" s="315" t="s">
        <v>986</v>
      </c>
      <c r="B204" s="568">
        <v>10</v>
      </c>
      <c r="C204" s="439" t="s">
        <v>612</v>
      </c>
      <c r="D204" s="303" t="s">
        <v>953</v>
      </c>
      <c r="F204" s="104"/>
      <c r="J204" s="104"/>
    </row>
    <row r="205" spans="1:10" ht="12.75">
      <c r="A205" s="315" t="s">
        <v>986</v>
      </c>
      <c r="B205" s="568">
        <v>10</v>
      </c>
      <c r="C205" s="439" t="s">
        <v>546</v>
      </c>
      <c r="D205" s="303" t="s">
        <v>997</v>
      </c>
      <c r="F205" s="104"/>
      <c r="J205" s="104"/>
    </row>
    <row r="206" spans="1:10" ht="12.75">
      <c r="A206" s="315" t="s">
        <v>986</v>
      </c>
      <c r="B206" s="568">
        <v>5</v>
      </c>
      <c r="C206" s="439" t="s">
        <v>550</v>
      </c>
      <c r="D206" s="303" t="s">
        <v>551</v>
      </c>
      <c r="J206" s="104"/>
    </row>
    <row r="207" spans="1:10" ht="12.75">
      <c r="A207" s="315" t="s">
        <v>986</v>
      </c>
      <c r="B207" s="568">
        <v>0</v>
      </c>
      <c r="C207" s="439" t="s">
        <v>954</v>
      </c>
      <c r="D207" s="303" t="s">
        <v>955</v>
      </c>
      <c r="F207" s="104"/>
      <c r="J207" s="104"/>
    </row>
    <row r="208" spans="1:10" ht="12.75">
      <c r="A208" s="315" t="s">
        <v>986</v>
      </c>
      <c r="B208" s="469">
        <v>43</v>
      </c>
      <c r="C208" s="439" t="s">
        <v>936</v>
      </c>
      <c r="D208" s="303" t="s">
        <v>942</v>
      </c>
      <c r="J208" s="104"/>
    </row>
    <row r="209" spans="1:10" ht="12.75">
      <c r="A209" s="315" t="s">
        <v>986</v>
      </c>
      <c r="B209" s="469">
        <v>0</v>
      </c>
      <c r="C209" s="439" t="s">
        <v>998</v>
      </c>
      <c r="D209" s="347" t="s">
        <v>999</v>
      </c>
      <c r="J209" s="104"/>
    </row>
    <row r="210" spans="1:10" ht="12.75">
      <c r="A210" s="315" t="s">
        <v>986</v>
      </c>
      <c r="B210" s="1039">
        <f>200</f>
        <v>200</v>
      </c>
      <c r="C210" s="439" t="s">
        <v>875</v>
      </c>
      <c r="D210" s="303" t="s">
        <v>943</v>
      </c>
      <c r="J210" s="104"/>
    </row>
    <row r="211" spans="1:10" ht="12.75">
      <c r="A211" s="315" t="s">
        <v>986</v>
      </c>
      <c r="B211" s="568">
        <v>20</v>
      </c>
      <c r="C211" s="439" t="s">
        <v>554</v>
      </c>
      <c r="D211" s="425" t="s">
        <v>293</v>
      </c>
      <c r="J211" s="104"/>
    </row>
    <row r="212" spans="1:10" ht="12.75">
      <c r="A212" s="315" t="s">
        <v>986</v>
      </c>
      <c r="B212" s="469">
        <v>0</v>
      </c>
      <c r="C212" s="439" t="s">
        <v>926</v>
      </c>
      <c r="D212" s="303" t="s">
        <v>979</v>
      </c>
      <c r="F212" s="104"/>
      <c r="G212" s="104"/>
      <c r="J212" s="104"/>
    </row>
    <row r="213" spans="1:10" ht="12.75">
      <c r="A213" s="315" t="s">
        <v>986</v>
      </c>
      <c r="B213" s="568">
        <v>35</v>
      </c>
      <c r="C213" s="439" t="s">
        <v>521</v>
      </c>
      <c r="D213" s="303" t="s">
        <v>522</v>
      </c>
      <c r="J213" s="104"/>
    </row>
    <row r="214" spans="1:10" ht="12.75">
      <c r="A214" s="315" t="s">
        <v>986</v>
      </c>
      <c r="B214" s="568">
        <v>35</v>
      </c>
      <c r="C214" s="439" t="s">
        <v>556</v>
      </c>
      <c r="D214" s="303" t="s">
        <v>957</v>
      </c>
      <c r="F214" s="104"/>
      <c r="J214" s="104"/>
    </row>
    <row r="215" spans="1:10" ht="12.75">
      <c r="A215" s="315" t="s">
        <v>986</v>
      </c>
      <c r="B215" s="568">
        <v>400</v>
      </c>
      <c r="C215" s="439" t="s">
        <v>558</v>
      </c>
      <c r="D215" s="303" t="s">
        <v>944</v>
      </c>
      <c r="J215" s="104"/>
    </row>
    <row r="216" spans="1:10" ht="12.75">
      <c r="A216" s="315" t="s">
        <v>986</v>
      </c>
      <c r="B216" s="568">
        <v>3</v>
      </c>
      <c r="C216" s="439" t="s">
        <v>576</v>
      </c>
      <c r="D216" s="303" t="s">
        <v>971</v>
      </c>
      <c r="J216" s="104"/>
    </row>
    <row r="217" spans="1:10" ht="12.75">
      <c r="A217" s="315" t="s">
        <v>986</v>
      </c>
      <c r="B217" s="568">
        <v>290</v>
      </c>
      <c r="C217" s="439" t="s">
        <v>958</v>
      </c>
      <c r="D217" s="303" t="s">
        <v>959</v>
      </c>
      <c r="F217" s="104"/>
      <c r="J217" s="104"/>
    </row>
    <row r="218" spans="1:10" ht="12.75">
      <c r="A218" s="315" t="s">
        <v>986</v>
      </c>
      <c r="B218" s="568">
        <v>130</v>
      </c>
      <c r="C218" s="439" t="s">
        <v>847</v>
      </c>
      <c r="D218" s="303" t="s">
        <v>848</v>
      </c>
      <c r="J218" s="104"/>
    </row>
    <row r="219" spans="1:10" ht="12.75">
      <c r="A219" s="315" t="s">
        <v>986</v>
      </c>
      <c r="B219" s="568">
        <f>200+12</f>
        <v>212</v>
      </c>
      <c r="C219" s="439" t="s">
        <v>560</v>
      </c>
      <c r="D219" s="303" t="s">
        <v>561</v>
      </c>
      <c r="J219" s="104"/>
    </row>
    <row r="220" spans="1:10" ht="12.75">
      <c r="A220" s="315" t="s">
        <v>986</v>
      </c>
      <c r="B220" s="568">
        <v>150</v>
      </c>
      <c r="C220" s="439" t="s">
        <v>980</v>
      </c>
      <c r="D220" s="303" t="s">
        <v>981</v>
      </c>
      <c r="J220" s="104"/>
    </row>
    <row r="221" spans="1:10" ht="12.75">
      <c r="A221" s="315" t="s">
        <v>986</v>
      </c>
      <c r="B221" s="469">
        <v>0</v>
      </c>
      <c r="C221" s="439" t="s">
        <v>526</v>
      </c>
      <c r="D221" s="303" t="s">
        <v>527</v>
      </c>
      <c r="J221" s="104"/>
    </row>
    <row r="222" spans="1:10" ht="12.75">
      <c r="A222" s="315" t="s">
        <v>986</v>
      </c>
      <c r="B222" s="469">
        <v>4</v>
      </c>
      <c r="C222" s="439" t="s">
        <v>516</v>
      </c>
      <c r="D222" s="427" t="s">
        <v>625</v>
      </c>
      <c r="J222" s="104"/>
    </row>
    <row r="223" spans="1:10" ht="12.75">
      <c r="A223" s="315" t="s">
        <v>986</v>
      </c>
      <c r="B223" s="469">
        <v>0</v>
      </c>
      <c r="C223" s="439" t="s">
        <v>851</v>
      </c>
      <c r="D223" s="425" t="s">
        <v>167</v>
      </c>
      <c r="J223" s="104"/>
    </row>
    <row r="224" spans="1:10" ht="12.75">
      <c r="A224" s="315" t="s">
        <v>986</v>
      </c>
      <c r="B224" s="568">
        <v>60</v>
      </c>
      <c r="C224" s="439" t="s">
        <v>852</v>
      </c>
      <c r="D224" s="425" t="s">
        <v>166</v>
      </c>
      <c r="F224" s="104"/>
      <c r="J224" s="104"/>
    </row>
    <row r="225" spans="1:10" ht="12.75">
      <c r="A225" s="315" t="s">
        <v>986</v>
      </c>
      <c r="B225" s="469">
        <v>0</v>
      </c>
      <c r="C225" s="440" t="s">
        <v>853</v>
      </c>
      <c r="D225" s="739" t="s">
        <v>298</v>
      </c>
      <c r="J225" s="104"/>
    </row>
    <row r="226" spans="1:10" ht="12.75">
      <c r="A226" s="315" t="s">
        <v>986</v>
      </c>
      <c r="B226" s="469">
        <v>0</v>
      </c>
      <c r="C226" s="440" t="s">
        <v>881</v>
      </c>
      <c r="D226" s="451" t="s">
        <v>945</v>
      </c>
      <c r="J226" s="104"/>
    </row>
    <row r="227" spans="1:10" ht="12.75">
      <c r="A227" s="315" t="s">
        <v>986</v>
      </c>
      <c r="B227" s="469">
        <v>0</v>
      </c>
      <c r="C227" s="440" t="s">
        <v>562</v>
      </c>
      <c r="D227" s="303" t="s">
        <v>946</v>
      </c>
      <c r="J227" s="104"/>
    </row>
    <row r="228" spans="1:10" ht="12.75">
      <c r="A228" s="315" t="s">
        <v>986</v>
      </c>
      <c r="B228" s="568">
        <v>0</v>
      </c>
      <c r="C228" s="440" t="s">
        <v>884</v>
      </c>
      <c r="D228" s="303" t="s">
        <v>948</v>
      </c>
      <c r="J228" s="104"/>
    </row>
    <row r="229" spans="1:10" ht="12.75">
      <c r="A229" s="302" t="s">
        <v>986</v>
      </c>
      <c r="B229" s="568">
        <v>55</v>
      </c>
      <c r="C229" s="436" t="s">
        <v>564</v>
      </c>
      <c r="D229" s="303" t="s">
        <v>947</v>
      </c>
      <c r="J229" s="104"/>
    </row>
    <row r="230" spans="1:10" ht="13.5" thickBot="1">
      <c r="A230" s="319" t="s">
        <v>986</v>
      </c>
      <c r="B230" s="569">
        <v>0</v>
      </c>
      <c r="C230" s="437" t="s">
        <v>565</v>
      </c>
      <c r="D230" s="299" t="s">
        <v>982</v>
      </c>
      <c r="F230" s="681">
        <f>SUM(B189:B230)</f>
        <v>2531.5</v>
      </c>
      <c r="J230" s="104"/>
    </row>
    <row r="231" spans="1:10" ht="13.5" thickBot="1">
      <c r="A231" s="377" t="s">
        <v>1000</v>
      </c>
      <c r="B231" s="484">
        <f>SUM(B132:B230)</f>
        <v>3237.5</v>
      </c>
      <c r="C231" s="320"/>
      <c r="D231" s="372"/>
      <c r="J231" s="104"/>
    </row>
    <row r="232" spans="1:10" ht="9.75" customHeight="1">
      <c r="A232" s="355"/>
      <c r="B232" s="394"/>
      <c r="C232" s="401"/>
      <c r="D232" s="481"/>
      <c r="J232" s="104"/>
    </row>
    <row r="233" spans="1:10" ht="9.75" customHeight="1">
      <c r="A233" s="352"/>
      <c r="B233" s="378"/>
      <c r="C233" s="308"/>
      <c r="D233" s="163"/>
      <c r="J233" s="104"/>
    </row>
    <row r="234" spans="1:10" ht="19.5" thickBot="1">
      <c r="A234" s="458" t="s">
        <v>1001</v>
      </c>
      <c r="B234" s="459"/>
      <c r="C234" s="482"/>
      <c r="D234" s="215"/>
      <c r="J234" s="104"/>
    </row>
    <row r="235" spans="1:10" ht="12.75">
      <c r="A235" s="292" t="s">
        <v>500</v>
      </c>
      <c r="B235" s="1029" t="s">
        <v>1219</v>
      </c>
      <c r="C235" s="309" t="s">
        <v>502</v>
      </c>
      <c r="D235" s="310" t="s">
        <v>503</v>
      </c>
      <c r="J235" s="104"/>
    </row>
    <row r="236" spans="1:10" ht="13.5" thickBot="1">
      <c r="A236" s="295"/>
      <c r="B236" s="296" t="s">
        <v>695</v>
      </c>
      <c r="C236" s="311" t="s">
        <v>504</v>
      </c>
      <c r="D236" s="312"/>
      <c r="J236" s="104"/>
    </row>
    <row r="237" spans="1:10" ht="12.75">
      <c r="A237" s="302" t="s">
        <v>1002</v>
      </c>
      <c r="B237" s="596">
        <v>0</v>
      </c>
      <c r="C237" s="452" t="s">
        <v>521</v>
      </c>
      <c r="D237" s="303" t="s">
        <v>522</v>
      </c>
      <c r="J237" s="104"/>
    </row>
    <row r="238" spans="1:10" ht="12.75">
      <c r="A238" s="302" t="s">
        <v>1002</v>
      </c>
      <c r="B238" s="756">
        <v>40</v>
      </c>
      <c r="C238" s="434" t="s">
        <v>523</v>
      </c>
      <c r="D238" s="299" t="s">
        <v>1003</v>
      </c>
      <c r="J238" s="104"/>
    </row>
    <row r="239" spans="1:10" ht="12.75">
      <c r="A239" s="302" t="s">
        <v>1002</v>
      </c>
      <c r="B239" s="469">
        <v>0</v>
      </c>
      <c r="C239" s="434" t="s">
        <v>526</v>
      </c>
      <c r="D239" s="303" t="s">
        <v>527</v>
      </c>
      <c r="F239" s="104"/>
      <c r="J239" s="104"/>
    </row>
    <row r="240" spans="1:10" ht="13.5" thickBot="1">
      <c r="A240" s="453" t="s">
        <v>1002</v>
      </c>
      <c r="B240" s="756">
        <v>0</v>
      </c>
      <c r="C240" s="454" t="s">
        <v>548</v>
      </c>
      <c r="D240" s="455" t="s">
        <v>941</v>
      </c>
      <c r="J240" s="104"/>
    </row>
    <row r="241" spans="1:10" ht="13.5" thickBot="1">
      <c r="A241" s="305"/>
      <c r="B241" s="484">
        <f>SUM(B237:B240)</f>
        <v>40</v>
      </c>
      <c r="C241" s="456"/>
      <c r="D241" s="305"/>
      <c r="J241" s="104"/>
    </row>
    <row r="242" spans="1:10" ht="4.5" customHeight="1">
      <c r="A242" s="352"/>
      <c r="B242" s="378"/>
      <c r="C242" s="379"/>
      <c r="D242" s="352"/>
      <c r="J242" s="104"/>
    </row>
    <row r="243" spans="1:10" ht="19.5" thickBot="1">
      <c r="A243" s="307" t="s">
        <v>1004</v>
      </c>
      <c r="B243" s="238"/>
      <c r="C243" s="308"/>
      <c r="J243" s="104"/>
    </row>
    <row r="244" spans="1:10" ht="12.75">
      <c r="A244" s="292" t="s">
        <v>500</v>
      </c>
      <c r="B244" s="1029" t="s">
        <v>1219</v>
      </c>
      <c r="C244" s="309" t="s">
        <v>502</v>
      </c>
      <c r="D244" s="310" t="s">
        <v>503</v>
      </c>
      <c r="J244" s="104"/>
    </row>
    <row r="245" spans="1:10" ht="13.5" thickBot="1">
      <c r="A245" s="295"/>
      <c r="B245" s="296" t="s">
        <v>695</v>
      </c>
      <c r="C245" s="311" t="s">
        <v>504</v>
      </c>
      <c r="D245" s="312"/>
      <c r="J245" s="104"/>
    </row>
    <row r="246" spans="1:10" ht="12.75">
      <c r="A246" s="423" t="s">
        <v>381</v>
      </c>
      <c r="B246" s="567">
        <v>0</v>
      </c>
      <c r="C246" s="452" t="s">
        <v>604</v>
      </c>
      <c r="D246" s="380" t="s">
        <v>985</v>
      </c>
      <c r="J246" s="104"/>
    </row>
    <row r="247" spans="1:10" ht="12.75">
      <c r="A247" s="426" t="s">
        <v>382</v>
      </c>
      <c r="B247" s="756">
        <v>28</v>
      </c>
      <c r="C247" s="671" t="s">
        <v>1173</v>
      </c>
      <c r="D247" s="427" t="s">
        <v>55</v>
      </c>
      <c r="J247" s="104"/>
    </row>
    <row r="248" spans="1:10" ht="12.75">
      <c r="A248" s="423" t="s">
        <v>382</v>
      </c>
      <c r="B248" s="568">
        <v>0</v>
      </c>
      <c r="C248" s="434" t="s">
        <v>606</v>
      </c>
      <c r="D248" s="303" t="s">
        <v>940</v>
      </c>
      <c r="J248" s="104"/>
    </row>
    <row r="249" spans="1:10" ht="12.75">
      <c r="A249" s="428" t="s">
        <v>382</v>
      </c>
      <c r="B249" s="605">
        <v>0</v>
      </c>
      <c r="C249" s="445" t="s">
        <v>609</v>
      </c>
      <c r="D249" s="700" t="s">
        <v>291</v>
      </c>
      <c r="J249" s="104"/>
    </row>
    <row r="250" spans="1:10" ht="12.75">
      <c r="A250" s="423" t="s">
        <v>382</v>
      </c>
      <c r="B250" s="568">
        <v>25</v>
      </c>
      <c r="C250" s="434" t="s">
        <v>610</v>
      </c>
      <c r="D250" s="303" t="s">
        <v>978</v>
      </c>
      <c r="F250" s="104"/>
      <c r="J250" s="104"/>
    </row>
    <row r="251" spans="1:10" ht="12.75">
      <c r="A251" s="423" t="s">
        <v>382</v>
      </c>
      <c r="B251" s="568">
        <v>30</v>
      </c>
      <c r="C251" s="434" t="s">
        <v>612</v>
      </c>
      <c r="D251" s="303" t="s">
        <v>953</v>
      </c>
      <c r="J251" s="104"/>
    </row>
    <row r="252" spans="1:10" ht="12.75">
      <c r="A252" s="423" t="s">
        <v>382</v>
      </c>
      <c r="B252" s="568">
        <v>5</v>
      </c>
      <c r="C252" s="434" t="s">
        <v>546</v>
      </c>
      <c r="D252" s="303" t="s">
        <v>997</v>
      </c>
      <c r="F252" s="104"/>
      <c r="J252" s="104"/>
    </row>
    <row r="253" spans="1:10" ht="12.75">
      <c r="A253" s="423" t="s">
        <v>382</v>
      </c>
      <c r="B253" s="568">
        <v>0</v>
      </c>
      <c r="C253" s="434" t="s">
        <v>954</v>
      </c>
      <c r="D253" s="303" t="s">
        <v>955</v>
      </c>
      <c r="J253" s="104"/>
    </row>
    <row r="254" spans="1:10" ht="12.75">
      <c r="A254" s="423" t="s">
        <v>382</v>
      </c>
      <c r="B254" s="568">
        <v>540</v>
      </c>
      <c r="C254" s="434" t="s">
        <v>554</v>
      </c>
      <c r="D254" s="425" t="s">
        <v>293</v>
      </c>
      <c r="F254" s="104"/>
      <c r="J254" s="104"/>
    </row>
    <row r="255" spans="1:10" ht="12.75">
      <c r="A255" s="423" t="s">
        <v>382</v>
      </c>
      <c r="B255" s="568">
        <v>140</v>
      </c>
      <c r="C255" s="434" t="s">
        <v>521</v>
      </c>
      <c r="D255" s="303" t="s">
        <v>522</v>
      </c>
      <c r="F255" s="104"/>
      <c r="J255" s="104"/>
    </row>
    <row r="256" spans="1:10" ht="12.75">
      <c r="A256" s="423" t="s">
        <v>382</v>
      </c>
      <c r="B256" s="568">
        <v>130</v>
      </c>
      <c r="C256" s="434" t="s">
        <v>556</v>
      </c>
      <c r="D256" s="303" t="s">
        <v>957</v>
      </c>
      <c r="J256" s="104"/>
    </row>
    <row r="257" spans="1:10" ht="12.75">
      <c r="A257" s="423" t="s">
        <v>382</v>
      </c>
      <c r="B257" s="568">
        <v>40</v>
      </c>
      <c r="C257" s="434" t="s">
        <v>558</v>
      </c>
      <c r="D257" s="303" t="s">
        <v>944</v>
      </c>
      <c r="J257" s="104"/>
    </row>
    <row r="258" spans="1:10" ht="12.75">
      <c r="A258" s="423" t="s">
        <v>382</v>
      </c>
      <c r="B258" s="568">
        <v>0</v>
      </c>
      <c r="C258" s="434" t="s">
        <v>847</v>
      </c>
      <c r="D258" s="303" t="s">
        <v>848</v>
      </c>
      <c r="J258" s="104"/>
    </row>
    <row r="259" spans="1:10" ht="12.75">
      <c r="A259" s="423" t="s">
        <v>382</v>
      </c>
      <c r="B259" s="568">
        <v>0</v>
      </c>
      <c r="C259" s="434" t="s">
        <v>980</v>
      </c>
      <c r="D259" s="303" t="s">
        <v>981</v>
      </c>
      <c r="J259" s="104"/>
    </row>
    <row r="260" spans="1:10" ht="12.75">
      <c r="A260" s="423" t="s">
        <v>382</v>
      </c>
      <c r="B260" s="469">
        <v>0</v>
      </c>
      <c r="C260" s="434" t="s">
        <v>526</v>
      </c>
      <c r="D260" s="303" t="s">
        <v>527</v>
      </c>
      <c r="J260" s="104"/>
    </row>
    <row r="261" spans="1:10" ht="12.75">
      <c r="A261" s="423" t="s">
        <v>382</v>
      </c>
      <c r="B261" s="469">
        <v>0</v>
      </c>
      <c r="C261" s="434" t="s">
        <v>516</v>
      </c>
      <c r="D261" s="427" t="s">
        <v>625</v>
      </c>
      <c r="J261" s="104"/>
    </row>
    <row r="262" spans="1:10" ht="12.75">
      <c r="A262" s="423" t="s">
        <v>382</v>
      </c>
      <c r="B262" s="469">
        <v>0</v>
      </c>
      <c r="C262" s="434" t="s">
        <v>851</v>
      </c>
      <c r="D262" s="425" t="s">
        <v>167</v>
      </c>
      <c r="F262" s="104"/>
      <c r="J262" s="104"/>
    </row>
    <row r="263" spans="1:10" ht="12.75">
      <c r="A263" s="423" t="s">
        <v>382</v>
      </c>
      <c r="B263" s="568">
        <v>0</v>
      </c>
      <c r="C263" s="434" t="s">
        <v>852</v>
      </c>
      <c r="D263" s="425" t="s">
        <v>166</v>
      </c>
      <c r="F263" s="104"/>
      <c r="J263" s="104"/>
    </row>
    <row r="264" spans="1:10" ht="12.75">
      <c r="A264" s="423" t="s">
        <v>382</v>
      </c>
      <c r="B264" s="568">
        <v>180</v>
      </c>
      <c r="C264" s="434" t="s">
        <v>564</v>
      </c>
      <c r="D264" s="303" t="s">
        <v>947</v>
      </c>
      <c r="F264" s="104">
        <f>SUM(B246:B264)</f>
        <v>1118</v>
      </c>
      <c r="J264" s="104"/>
    </row>
    <row r="265" spans="1:10" ht="12.75">
      <c r="A265" s="426" t="s">
        <v>383</v>
      </c>
      <c r="B265" s="756">
        <v>240</v>
      </c>
      <c r="C265" s="671" t="s">
        <v>1173</v>
      </c>
      <c r="D265" s="427" t="s">
        <v>55</v>
      </c>
      <c r="J265" s="104"/>
    </row>
    <row r="266" spans="1:10" ht="12.75">
      <c r="A266" s="423" t="s">
        <v>383</v>
      </c>
      <c r="B266" s="568">
        <v>20</v>
      </c>
      <c r="C266" s="439" t="s">
        <v>606</v>
      </c>
      <c r="D266" s="303" t="s">
        <v>940</v>
      </c>
      <c r="J266" s="104"/>
    </row>
    <row r="267" spans="1:10" ht="12.75">
      <c r="A267" s="428" t="s">
        <v>383</v>
      </c>
      <c r="B267" s="605">
        <v>220</v>
      </c>
      <c r="C267" s="438" t="s">
        <v>610</v>
      </c>
      <c r="D267" s="346" t="s">
        <v>978</v>
      </c>
      <c r="F267" s="104"/>
      <c r="J267" s="104"/>
    </row>
    <row r="268" spans="1:10" ht="12.75">
      <c r="A268" s="423" t="s">
        <v>383</v>
      </c>
      <c r="B268" s="568">
        <v>0</v>
      </c>
      <c r="C268" s="439" t="s">
        <v>546</v>
      </c>
      <c r="D268" s="303" t="s">
        <v>997</v>
      </c>
      <c r="F268" s="104"/>
      <c r="J268" s="104"/>
    </row>
    <row r="269" spans="1:10" ht="12.75">
      <c r="A269" s="423" t="s">
        <v>383</v>
      </c>
      <c r="B269" s="568">
        <v>0</v>
      </c>
      <c r="C269" s="439" t="s">
        <v>954</v>
      </c>
      <c r="D269" s="303" t="s">
        <v>955</v>
      </c>
      <c r="J269" s="104"/>
    </row>
    <row r="270" spans="1:10" ht="12.75">
      <c r="A270" s="423" t="s">
        <v>383</v>
      </c>
      <c r="B270" s="568">
        <v>0</v>
      </c>
      <c r="C270" s="439" t="s">
        <v>554</v>
      </c>
      <c r="D270" s="425" t="s">
        <v>293</v>
      </c>
      <c r="J270" s="104"/>
    </row>
    <row r="271" spans="1:10" ht="12.75">
      <c r="A271" s="423" t="s">
        <v>383</v>
      </c>
      <c r="B271" s="568">
        <v>0</v>
      </c>
      <c r="C271" s="439" t="s">
        <v>521</v>
      </c>
      <c r="D271" s="303" t="s">
        <v>522</v>
      </c>
      <c r="F271" s="104"/>
      <c r="J271" s="104"/>
    </row>
    <row r="272" spans="1:10" ht="12.75">
      <c r="A272" s="423" t="s">
        <v>383</v>
      </c>
      <c r="B272" s="568">
        <v>0</v>
      </c>
      <c r="C272" s="439" t="s">
        <v>556</v>
      </c>
      <c r="D272" s="303" t="s">
        <v>957</v>
      </c>
      <c r="F272" s="104"/>
      <c r="J272" s="104"/>
    </row>
    <row r="273" spans="1:10" ht="12.75">
      <c r="A273" s="423" t="s">
        <v>383</v>
      </c>
      <c r="B273" s="568">
        <v>200</v>
      </c>
      <c r="C273" s="439" t="s">
        <v>558</v>
      </c>
      <c r="D273" s="303" t="s">
        <v>944</v>
      </c>
      <c r="J273" s="104"/>
    </row>
    <row r="274" spans="1:10" ht="12.75">
      <c r="A274" s="423" t="s">
        <v>383</v>
      </c>
      <c r="B274" s="469">
        <v>0</v>
      </c>
      <c r="C274" s="439" t="s">
        <v>526</v>
      </c>
      <c r="D274" s="303" t="s">
        <v>527</v>
      </c>
      <c r="J274" s="104"/>
    </row>
    <row r="275" spans="1:10" ht="12.75">
      <c r="A275" s="423" t="s">
        <v>383</v>
      </c>
      <c r="B275" s="469">
        <v>0</v>
      </c>
      <c r="C275" s="439" t="s">
        <v>851</v>
      </c>
      <c r="D275" s="425" t="s">
        <v>167</v>
      </c>
      <c r="J275" s="104"/>
    </row>
    <row r="276" spans="1:10" ht="12.75">
      <c r="A276" s="423" t="s">
        <v>383</v>
      </c>
      <c r="B276" s="568">
        <v>0</v>
      </c>
      <c r="C276" s="439" t="s">
        <v>852</v>
      </c>
      <c r="D276" s="425" t="s">
        <v>166</v>
      </c>
      <c r="F276" s="104"/>
      <c r="J276" s="104"/>
    </row>
    <row r="277" spans="1:10" ht="12.75">
      <c r="A277" s="423" t="s">
        <v>383</v>
      </c>
      <c r="B277" s="568">
        <v>0</v>
      </c>
      <c r="C277" s="439" t="s">
        <v>564</v>
      </c>
      <c r="D277" s="303" t="s">
        <v>947</v>
      </c>
      <c r="F277" s="104">
        <f>SUM(B265:B277)</f>
        <v>680</v>
      </c>
      <c r="J277" s="104"/>
    </row>
    <row r="278" spans="1:10" ht="12.75">
      <c r="A278" s="423" t="s">
        <v>1164</v>
      </c>
      <c r="B278" s="469">
        <v>0</v>
      </c>
      <c r="C278" s="439" t="s">
        <v>604</v>
      </c>
      <c r="D278" s="376" t="s">
        <v>985</v>
      </c>
      <c r="F278" s="104"/>
      <c r="J278" s="104"/>
    </row>
    <row r="279" spans="1:10" ht="12.75">
      <c r="A279" s="423" t="s">
        <v>1164</v>
      </c>
      <c r="B279" s="568">
        <v>0</v>
      </c>
      <c r="C279" s="439" t="s">
        <v>523</v>
      </c>
      <c r="D279" s="303" t="s">
        <v>950</v>
      </c>
      <c r="J279" s="104"/>
    </row>
    <row r="280" spans="1:10" ht="12.75">
      <c r="A280" s="423" t="s">
        <v>1164</v>
      </c>
      <c r="B280" s="568">
        <v>83</v>
      </c>
      <c r="C280" s="527" t="s">
        <v>1173</v>
      </c>
      <c r="D280" s="425" t="s">
        <v>55</v>
      </c>
      <c r="J280" s="104"/>
    </row>
    <row r="281" spans="1:10" ht="12.75">
      <c r="A281" s="426" t="s">
        <v>1164</v>
      </c>
      <c r="B281" s="756">
        <v>0</v>
      </c>
      <c r="C281" s="671" t="s">
        <v>158</v>
      </c>
      <c r="D281" s="427" t="s">
        <v>172</v>
      </c>
      <c r="J281" s="104"/>
    </row>
    <row r="282" spans="1:10" ht="12.75">
      <c r="A282" s="423" t="s">
        <v>1164</v>
      </c>
      <c r="B282" s="568">
        <v>0</v>
      </c>
      <c r="C282" s="439" t="s">
        <v>606</v>
      </c>
      <c r="D282" s="303" t="s">
        <v>940</v>
      </c>
      <c r="F282" s="104"/>
      <c r="J282" s="104"/>
    </row>
    <row r="283" spans="1:10" ht="12.75">
      <c r="A283" s="428" t="s">
        <v>1164</v>
      </c>
      <c r="B283" s="605">
        <v>0</v>
      </c>
      <c r="C283" s="438" t="s">
        <v>609</v>
      </c>
      <c r="D283" s="700" t="s">
        <v>291</v>
      </c>
      <c r="J283" s="104"/>
    </row>
    <row r="284" spans="1:10" ht="12.75">
      <c r="A284" s="423" t="s">
        <v>1164</v>
      </c>
      <c r="B284" s="568">
        <v>130</v>
      </c>
      <c r="C284" s="439" t="s">
        <v>610</v>
      </c>
      <c r="D284" s="303" t="s">
        <v>978</v>
      </c>
      <c r="F284" s="104"/>
      <c r="J284" s="104"/>
    </row>
    <row r="285" spans="1:10" ht="12.75">
      <c r="A285" s="423" t="s">
        <v>1164</v>
      </c>
      <c r="B285" s="568">
        <v>400</v>
      </c>
      <c r="C285" s="450" t="s">
        <v>612</v>
      </c>
      <c r="D285" s="451" t="s">
        <v>953</v>
      </c>
      <c r="F285" s="104"/>
      <c r="G285" s="104"/>
      <c r="J285" s="104"/>
    </row>
    <row r="286" spans="1:10" ht="12.75">
      <c r="A286" s="423" t="s">
        <v>1164</v>
      </c>
      <c r="B286" s="568">
        <v>7</v>
      </c>
      <c r="C286" s="450" t="s">
        <v>546</v>
      </c>
      <c r="D286" s="451" t="s">
        <v>997</v>
      </c>
      <c r="F286" s="104"/>
      <c r="J286" s="104"/>
    </row>
    <row r="287" spans="1:10" ht="12.75">
      <c r="A287" s="423" t="s">
        <v>1164</v>
      </c>
      <c r="B287" s="568">
        <v>0</v>
      </c>
      <c r="C287" s="439" t="s">
        <v>954</v>
      </c>
      <c r="D287" s="303" t="s">
        <v>955</v>
      </c>
      <c r="J287" s="104"/>
    </row>
    <row r="288" spans="1:10" ht="12.75">
      <c r="A288" s="423" t="s">
        <v>1164</v>
      </c>
      <c r="B288" s="469">
        <v>15</v>
      </c>
      <c r="C288" s="527" t="s">
        <v>936</v>
      </c>
      <c r="D288" s="299" t="s">
        <v>937</v>
      </c>
      <c r="J288" s="104"/>
    </row>
    <row r="289" spans="1:10" ht="12.75">
      <c r="A289" s="423" t="s">
        <v>1164</v>
      </c>
      <c r="B289" s="568">
        <v>0</v>
      </c>
      <c r="C289" s="439" t="s">
        <v>875</v>
      </c>
      <c r="D289" s="303" t="s">
        <v>943</v>
      </c>
      <c r="J289" s="104"/>
    </row>
    <row r="290" spans="1:10" ht="12.75">
      <c r="A290" s="423" t="s">
        <v>1164</v>
      </c>
      <c r="B290" s="568">
        <v>70</v>
      </c>
      <c r="C290" s="439" t="s">
        <v>554</v>
      </c>
      <c r="D290" s="425" t="s">
        <v>293</v>
      </c>
      <c r="J290" s="104"/>
    </row>
    <row r="291" spans="1:10" ht="12.75">
      <c r="A291" s="423" t="s">
        <v>1164</v>
      </c>
      <c r="B291" s="568">
        <v>40</v>
      </c>
      <c r="C291" s="439" t="s">
        <v>521</v>
      </c>
      <c r="D291" s="303" t="s">
        <v>522</v>
      </c>
      <c r="J291" s="104"/>
    </row>
    <row r="292" spans="1:10" ht="12.75">
      <c r="A292" s="423" t="s">
        <v>1164</v>
      </c>
      <c r="B292" s="568">
        <v>18</v>
      </c>
      <c r="C292" s="439" t="s">
        <v>556</v>
      </c>
      <c r="D292" s="303" t="s">
        <v>957</v>
      </c>
      <c r="F292" s="104"/>
      <c r="J292" s="104"/>
    </row>
    <row r="293" spans="1:10" ht="12.75">
      <c r="A293" s="423" t="s">
        <v>1164</v>
      </c>
      <c r="B293" s="568">
        <v>80</v>
      </c>
      <c r="C293" s="439" t="s">
        <v>558</v>
      </c>
      <c r="D293" s="303" t="s">
        <v>944</v>
      </c>
      <c r="J293" s="104"/>
    </row>
    <row r="294" spans="1:10" ht="12.75">
      <c r="A294" s="423" t="s">
        <v>1164</v>
      </c>
      <c r="B294" s="568">
        <v>700</v>
      </c>
      <c r="C294" s="439" t="s">
        <v>958</v>
      </c>
      <c r="D294" s="303" t="s">
        <v>959</v>
      </c>
      <c r="J294" s="104"/>
    </row>
    <row r="295" spans="1:10" ht="12.75">
      <c r="A295" s="423" t="s">
        <v>1164</v>
      </c>
      <c r="B295" s="568">
        <v>20</v>
      </c>
      <c r="C295" s="439" t="s">
        <v>847</v>
      </c>
      <c r="D295" s="303" t="s">
        <v>848</v>
      </c>
      <c r="J295" s="104"/>
    </row>
    <row r="296" spans="1:10" ht="12.75">
      <c r="A296" s="423" t="s">
        <v>1164</v>
      </c>
      <c r="B296" s="568">
        <v>30</v>
      </c>
      <c r="C296" s="527" t="s">
        <v>980</v>
      </c>
      <c r="D296" s="425" t="s">
        <v>981</v>
      </c>
      <c r="J296" s="104"/>
    </row>
    <row r="297" spans="1:10" ht="12.75">
      <c r="A297" s="423" t="s">
        <v>1164</v>
      </c>
      <c r="B297" s="469">
        <v>0</v>
      </c>
      <c r="C297" s="439" t="s">
        <v>526</v>
      </c>
      <c r="D297" s="303" t="s">
        <v>527</v>
      </c>
      <c r="J297" s="104"/>
    </row>
    <row r="298" spans="1:10" ht="12.75">
      <c r="A298" s="423" t="s">
        <v>1164</v>
      </c>
      <c r="B298" s="469">
        <v>0</v>
      </c>
      <c r="C298" s="439" t="s">
        <v>516</v>
      </c>
      <c r="D298" s="427" t="s">
        <v>625</v>
      </c>
      <c r="J298" s="104"/>
    </row>
    <row r="299" spans="1:10" ht="12.75">
      <c r="A299" s="423" t="s">
        <v>1164</v>
      </c>
      <c r="B299" s="469">
        <v>0</v>
      </c>
      <c r="C299" s="439" t="s">
        <v>851</v>
      </c>
      <c r="D299" s="425" t="s">
        <v>167</v>
      </c>
      <c r="J299" s="104"/>
    </row>
    <row r="300" spans="1:10" ht="12.75">
      <c r="A300" s="423" t="s">
        <v>1164</v>
      </c>
      <c r="B300" s="568">
        <v>0</v>
      </c>
      <c r="C300" s="439" t="s">
        <v>852</v>
      </c>
      <c r="D300" s="425" t="s">
        <v>166</v>
      </c>
      <c r="J300" s="104"/>
    </row>
    <row r="301" spans="1:10" ht="12.75">
      <c r="A301" s="423" t="s">
        <v>1164</v>
      </c>
      <c r="B301" s="568">
        <v>75</v>
      </c>
      <c r="C301" s="439" t="s">
        <v>564</v>
      </c>
      <c r="D301" s="303" t="s">
        <v>947</v>
      </c>
      <c r="F301" s="104">
        <f>SUM(B278:B301)</f>
        <v>1668</v>
      </c>
      <c r="J301" s="104"/>
    </row>
    <row r="302" spans="1:10" ht="12.75">
      <c r="A302" s="315" t="s">
        <v>1005</v>
      </c>
      <c r="B302" s="568">
        <v>0</v>
      </c>
      <c r="C302" s="439" t="s">
        <v>875</v>
      </c>
      <c r="D302" s="303" t="s">
        <v>943</v>
      </c>
      <c r="F302" s="104"/>
      <c r="J302" s="104"/>
    </row>
    <row r="303" spans="1:10" ht="12.75">
      <c r="A303" s="315" t="s">
        <v>1005</v>
      </c>
      <c r="B303" s="568">
        <v>0</v>
      </c>
      <c r="C303" s="439" t="s">
        <v>554</v>
      </c>
      <c r="D303" s="425" t="s">
        <v>293</v>
      </c>
      <c r="J303" s="104"/>
    </row>
    <row r="304" spans="1:10" ht="12.75">
      <c r="A304" s="315" t="s">
        <v>1005</v>
      </c>
      <c r="B304" s="568">
        <v>1</v>
      </c>
      <c r="C304" s="439" t="s">
        <v>847</v>
      </c>
      <c r="D304" s="303" t="s">
        <v>848</v>
      </c>
      <c r="J304" s="104"/>
    </row>
    <row r="305" spans="1:10" ht="12.75">
      <c r="A305" s="315" t="s">
        <v>1005</v>
      </c>
      <c r="B305" s="469">
        <v>0</v>
      </c>
      <c r="C305" s="439" t="s">
        <v>516</v>
      </c>
      <c r="D305" s="427" t="s">
        <v>625</v>
      </c>
      <c r="F305" s="104">
        <f>SUM(B302:B305)</f>
        <v>1</v>
      </c>
      <c r="J305" s="104"/>
    </row>
    <row r="306" spans="1:10" ht="12.75">
      <c r="A306" s="315" t="s">
        <v>1007</v>
      </c>
      <c r="B306" s="568">
        <v>10</v>
      </c>
      <c r="C306" s="439" t="s">
        <v>523</v>
      </c>
      <c r="D306" s="303" t="s">
        <v>950</v>
      </c>
      <c r="J306" s="104"/>
    </row>
    <row r="307" spans="1:10" ht="14.25" customHeight="1">
      <c r="A307" s="315" t="s">
        <v>1007</v>
      </c>
      <c r="B307" s="469">
        <v>0</v>
      </c>
      <c r="C307" s="439" t="s">
        <v>570</v>
      </c>
      <c r="D307" s="303" t="s">
        <v>993</v>
      </c>
      <c r="J307" s="104"/>
    </row>
    <row r="308" spans="1:10" ht="12.75">
      <c r="A308" s="315" t="s">
        <v>1007</v>
      </c>
      <c r="B308" s="568">
        <v>600</v>
      </c>
      <c r="C308" s="439" t="s">
        <v>541</v>
      </c>
      <c r="D308" s="303" t="s">
        <v>868</v>
      </c>
      <c r="J308" s="104"/>
    </row>
    <row r="309" spans="1:10" ht="12.75">
      <c r="A309" s="315" t="s">
        <v>1007</v>
      </c>
      <c r="B309" s="568">
        <v>0</v>
      </c>
      <c r="C309" s="527" t="s">
        <v>1173</v>
      </c>
      <c r="D309" s="425" t="s">
        <v>55</v>
      </c>
      <c r="F309" s="104"/>
      <c r="J309" s="104"/>
    </row>
    <row r="310" spans="1:10" ht="12.75">
      <c r="A310" s="302" t="s">
        <v>1007</v>
      </c>
      <c r="B310" s="756">
        <v>0</v>
      </c>
      <c r="C310" s="671" t="s">
        <v>158</v>
      </c>
      <c r="D310" s="427" t="s">
        <v>172</v>
      </c>
      <c r="J310" s="104"/>
    </row>
    <row r="311" spans="1:10" ht="12.75">
      <c r="A311" s="315" t="s">
        <v>1007</v>
      </c>
      <c r="B311" s="568">
        <v>50</v>
      </c>
      <c r="C311" s="439" t="s">
        <v>606</v>
      </c>
      <c r="D311" s="303" t="s">
        <v>940</v>
      </c>
      <c r="J311" s="104"/>
    </row>
    <row r="312" spans="1:10" ht="12.75">
      <c r="A312" s="706" t="s">
        <v>1007</v>
      </c>
      <c r="B312" s="880">
        <v>35</v>
      </c>
      <c r="C312" s="701" t="s">
        <v>548</v>
      </c>
      <c r="D312" s="702" t="s">
        <v>941</v>
      </c>
      <c r="F312" s="104"/>
      <c r="J312" s="104"/>
    </row>
    <row r="313" spans="1:10" ht="12.75">
      <c r="A313" s="359" t="s">
        <v>1007</v>
      </c>
      <c r="B313" s="568">
        <v>0</v>
      </c>
      <c r="C313" s="438" t="s">
        <v>612</v>
      </c>
      <c r="D313" s="346" t="s">
        <v>953</v>
      </c>
      <c r="G313" s="104"/>
      <c r="J313" s="104"/>
    </row>
    <row r="314" spans="1:10" ht="12.75">
      <c r="A314" s="315" t="s">
        <v>1007</v>
      </c>
      <c r="B314" s="568">
        <v>0</v>
      </c>
      <c r="C314" s="439" t="s">
        <v>546</v>
      </c>
      <c r="D314" s="303" t="s">
        <v>997</v>
      </c>
      <c r="F314" s="104"/>
      <c r="J314" s="104"/>
    </row>
    <row r="315" spans="1:10" ht="12.75">
      <c r="A315" s="315" t="s">
        <v>1007</v>
      </c>
      <c r="B315" s="568">
        <v>25</v>
      </c>
      <c r="C315" s="439" t="s">
        <v>875</v>
      </c>
      <c r="D315" s="303" t="s">
        <v>943</v>
      </c>
      <c r="J315" s="104"/>
    </row>
    <row r="316" spans="1:10" ht="12.75">
      <c r="A316" s="315" t="s">
        <v>1007</v>
      </c>
      <c r="B316" s="568">
        <v>0</v>
      </c>
      <c r="C316" s="439" t="s">
        <v>554</v>
      </c>
      <c r="D316" s="425" t="s">
        <v>293</v>
      </c>
      <c r="F316" s="104"/>
      <c r="J316" s="104"/>
    </row>
    <row r="317" spans="1:10" ht="12.75">
      <c r="A317" s="315" t="s">
        <v>1007</v>
      </c>
      <c r="B317" s="568">
        <v>300</v>
      </c>
      <c r="C317" s="439" t="s">
        <v>558</v>
      </c>
      <c r="D317" s="303" t="s">
        <v>944</v>
      </c>
      <c r="F317" s="104"/>
      <c r="J317" s="104"/>
    </row>
    <row r="318" spans="1:10" ht="12.75">
      <c r="A318" s="315" t="s">
        <v>1007</v>
      </c>
      <c r="B318" s="568">
        <v>130</v>
      </c>
      <c r="C318" s="439" t="s">
        <v>576</v>
      </c>
      <c r="D318" s="303" t="s">
        <v>846</v>
      </c>
      <c r="J318" s="104"/>
    </row>
    <row r="319" spans="1:10" ht="12.75">
      <c r="A319" s="315" t="s">
        <v>1007</v>
      </c>
      <c r="B319" s="568">
        <v>60</v>
      </c>
      <c r="C319" s="439" t="s">
        <v>958</v>
      </c>
      <c r="D319" s="303" t="s">
        <v>959</v>
      </c>
      <c r="J319" s="104"/>
    </row>
    <row r="320" spans="1:10" ht="12.75">
      <c r="A320" s="315" t="s">
        <v>1007</v>
      </c>
      <c r="B320" s="568">
        <v>1</v>
      </c>
      <c r="C320" s="439" t="s">
        <v>847</v>
      </c>
      <c r="D320" s="303" t="s">
        <v>848</v>
      </c>
      <c r="J320" s="104"/>
    </row>
    <row r="321" spans="1:10" ht="12.75">
      <c r="A321" s="315" t="s">
        <v>1007</v>
      </c>
      <c r="B321" s="568">
        <v>135</v>
      </c>
      <c r="C321" s="439" t="s">
        <v>560</v>
      </c>
      <c r="D321" s="303" t="s">
        <v>561</v>
      </c>
      <c r="J321" s="104"/>
    </row>
    <row r="322" spans="1:10" ht="12.75">
      <c r="A322" s="315" t="s">
        <v>1007</v>
      </c>
      <c r="B322" s="469">
        <v>0</v>
      </c>
      <c r="C322" s="439" t="s">
        <v>526</v>
      </c>
      <c r="D322" s="303" t="s">
        <v>527</v>
      </c>
      <c r="J322" s="104"/>
    </row>
    <row r="323" spans="1:10" ht="12.75">
      <c r="A323" s="315" t="s">
        <v>1007</v>
      </c>
      <c r="B323" s="469">
        <v>0</v>
      </c>
      <c r="C323" s="439" t="s">
        <v>851</v>
      </c>
      <c r="D323" s="425" t="s">
        <v>167</v>
      </c>
      <c r="J323" s="104"/>
    </row>
    <row r="324" spans="1:10" ht="12.75">
      <c r="A324" s="302" t="s">
        <v>1007</v>
      </c>
      <c r="B324" s="568">
        <v>15</v>
      </c>
      <c r="C324" s="439" t="s">
        <v>852</v>
      </c>
      <c r="D324" s="425" t="s">
        <v>166</v>
      </c>
      <c r="J324" s="104"/>
    </row>
    <row r="325" spans="1:10" ht="12.75">
      <c r="A325" s="302" t="s">
        <v>1007</v>
      </c>
      <c r="B325" s="469">
        <v>0</v>
      </c>
      <c r="C325" s="439" t="s">
        <v>881</v>
      </c>
      <c r="D325" s="451" t="s">
        <v>945</v>
      </c>
      <c r="F325" s="681">
        <f>SUM(B306:B325)</f>
        <v>1361</v>
      </c>
      <c r="J325" s="104"/>
    </row>
    <row r="326" spans="1:10" ht="12.75">
      <c r="A326" s="302" t="s">
        <v>1008</v>
      </c>
      <c r="B326" s="469">
        <v>0</v>
      </c>
      <c r="C326" s="439" t="s">
        <v>526</v>
      </c>
      <c r="D326" s="303" t="s">
        <v>527</v>
      </c>
      <c r="F326" s="104"/>
      <c r="G326" s="104"/>
      <c r="J326" s="104"/>
    </row>
    <row r="327" spans="1:10" ht="12.75">
      <c r="A327" s="315" t="s">
        <v>1008</v>
      </c>
      <c r="B327" s="568">
        <v>0</v>
      </c>
      <c r="C327" s="439" t="s">
        <v>554</v>
      </c>
      <c r="D327" s="425" t="s">
        <v>293</v>
      </c>
      <c r="F327" s="104"/>
      <c r="J327" s="104"/>
    </row>
    <row r="328" spans="1:10" ht="12.75">
      <c r="A328" s="315" t="s">
        <v>1008</v>
      </c>
      <c r="B328" s="568">
        <v>380</v>
      </c>
      <c r="C328" s="439" t="s">
        <v>521</v>
      </c>
      <c r="D328" s="303" t="s">
        <v>522</v>
      </c>
      <c r="F328" s="104"/>
      <c r="J328" s="104"/>
    </row>
    <row r="329" spans="1:10" ht="12.75">
      <c r="A329" s="315" t="s">
        <v>1008</v>
      </c>
      <c r="B329" s="568">
        <v>360</v>
      </c>
      <c r="C329" s="439" t="s">
        <v>556</v>
      </c>
      <c r="D329" s="303" t="s">
        <v>957</v>
      </c>
      <c r="F329" s="104"/>
      <c r="J329" s="104"/>
    </row>
    <row r="330" spans="1:10" ht="13.5" thickBot="1">
      <c r="A330" s="302" t="s">
        <v>1008</v>
      </c>
      <c r="B330" s="597">
        <v>600</v>
      </c>
      <c r="C330" s="436" t="s">
        <v>564</v>
      </c>
      <c r="D330" s="299" t="s">
        <v>947</v>
      </c>
      <c r="F330" s="104">
        <f>SUM(B326:B330)</f>
        <v>1340</v>
      </c>
      <c r="J330" s="104"/>
    </row>
    <row r="331" spans="1:10" ht="13.5" thickBot="1">
      <c r="A331" s="305" t="s">
        <v>358</v>
      </c>
      <c r="B331" s="484">
        <f>SUM(B246:B330)</f>
        <v>6168</v>
      </c>
      <c r="C331" s="456"/>
      <c r="D331" s="305"/>
      <c r="J331" s="104"/>
    </row>
    <row r="332" spans="1:10" ht="7.5" customHeight="1">
      <c r="A332" s="355"/>
      <c r="B332" s="394"/>
      <c r="C332" s="308"/>
      <c r="D332" s="352"/>
      <c r="J332" s="104"/>
    </row>
    <row r="333" spans="1:10" ht="19.5" thickBot="1">
      <c r="A333" s="458" t="s">
        <v>1009</v>
      </c>
      <c r="B333" s="459"/>
      <c r="C333" s="308"/>
      <c r="J333" s="104"/>
    </row>
    <row r="334" spans="1:10" ht="12.75">
      <c r="A334" s="292" t="s">
        <v>500</v>
      </c>
      <c r="B334" s="1029" t="s">
        <v>1219</v>
      </c>
      <c r="C334" s="309" t="s">
        <v>502</v>
      </c>
      <c r="D334" s="310" t="s">
        <v>503</v>
      </c>
      <c r="J334" s="104"/>
    </row>
    <row r="335" spans="1:10" ht="13.5" thickBot="1">
      <c r="A335" s="295"/>
      <c r="B335" s="296" t="s">
        <v>695</v>
      </c>
      <c r="C335" s="311" t="s">
        <v>504</v>
      </c>
      <c r="D335" s="312"/>
      <c r="J335" s="104"/>
    </row>
    <row r="336" spans="1:10" ht="12.75">
      <c r="A336" s="359" t="s">
        <v>1010</v>
      </c>
      <c r="B336" s="602">
        <v>0</v>
      </c>
      <c r="C336" s="314" t="s">
        <v>541</v>
      </c>
      <c r="D336" s="342" t="s">
        <v>969</v>
      </c>
      <c r="F336" s="382"/>
      <c r="G336" s="308"/>
      <c r="H336" s="383"/>
      <c r="J336" s="104"/>
    </row>
    <row r="337" spans="1:10" ht="12.75">
      <c r="A337" s="329" t="s">
        <v>1010</v>
      </c>
      <c r="B337" s="886">
        <v>5</v>
      </c>
      <c r="C337" s="527" t="s">
        <v>1173</v>
      </c>
      <c r="D337" s="425" t="s">
        <v>55</v>
      </c>
      <c r="F337" s="382"/>
      <c r="G337" s="308"/>
      <c r="H337" s="383"/>
      <c r="J337" s="104"/>
    </row>
    <row r="338" spans="1:10" ht="12.75">
      <c r="A338" s="446" t="s">
        <v>1010</v>
      </c>
      <c r="B338" s="881">
        <v>100</v>
      </c>
      <c r="C338" s="448" t="s">
        <v>548</v>
      </c>
      <c r="D338" s="447" t="s">
        <v>941</v>
      </c>
      <c r="F338" s="290"/>
      <c r="G338" s="379"/>
      <c r="H338" s="163"/>
      <c r="J338" s="104"/>
    </row>
    <row r="339" spans="1:10" ht="12.75">
      <c r="A339" s="359" t="s">
        <v>1010</v>
      </c>
      <c r="B339" s="883">
        <v>0</v>
      </c>
      <c r="C339" s="438" t="s">
        <v>609</v>
      </c>
      <c r="D339" s="425" t="s">
        <v>291</v>
      </c>
      <c r="F339" s="290"/>
      <c r="G339" s="379"/>
      <c r="H339" s="163"/>
      <c r="J339" s="104"/>
    </row>
    <row r="340" spans="1:10" ht="12.75">
      <c r="A340" s="359" t="s">
        <v>1010</v>
      </c>
      <c r="B340" s="874">
        <v>4</v>
      </c>
      <c r="C340" s="439" t="s">
        <v>554</v>
      </c>
      <c r="D340" s="425" t="s">
        <v>293</v>
      </c>
      <c r="F340" s="290"/>
      <c r="G340" s="384"/>
      <c r="H340" s="385"/>
      <c r="J340" s="104"/>
    </row>
    <row r="341" spans="1:10" ht="12.75">
      <c r="A341" s="359" t="s">
        <v>1010</v>
      </c>
      <c r="B341" s="874">
        <v>0</v>
      </c>
      <c r="C341" s="439" t="s">
        <v>521</v>
      </c>
      <c r="D341" s="303" t="s">
        <v>522</v>
      </c>
      <c r="F341" s="290"/>
      <c r="G341" s="379"/>
      <c r="H341" s="163"/>
      <c r="J341" s="104"/>
    </row>
    <row r="342" spans="1:10" ht="12.75">
      <c r="A342" s="315" t="s">
        <v>1010</v>
      </c>
      <c r="B342" s="874">
        <v>0</v>
      </c>
      <c r="C342" s="439" t="s">
        <v>556</v>
      </c>
      <c r="D342" s="303" t="s">
        <v>957</v>
      </c>
      <c r="F342" s="290"/>
      <c r="G342" s="379"/>
      <c r="H342" s="163"/>
      <c r="J342" s="104"/>
    </row>
    <row r="343" spans="1:10" ht="12.75">
      <c r="A343" s="359" t="s">
        <v>1010</v>
      </c>
      <c r="B343" s="568">
        <v>0</v>
      </c>
      <c r="C343" s="439" t="s">
        <v>558</v>
      </c>
      <c r="D343" s="303" t="s">
        <v>944</v>
      </c>
      <c r="F343" s="290"/>
      <c r="G343" s="379"/>
      <c r="H343" s="163"/>
      <c r="J343" s="104"/>
    </row>
    <row r="344" spans="1:10" ht="12.75">
      <c r="A344" s="359" t="s">
        <v>1010</v>
      </c>
      <c r="B344" s="568">
        <v>0</v>
      </c>
      <c r="C344" s="439" t="s">
        <v>576</v>
      </c>
      <c r="D344" s="303" t="s">
        <v>971</v>
      </c>
      <c r="F344" s="290"/>
      <c r="G344" s="379"/>
      <c r="H344" s="163"/>
      <c r="J344" s="104"/>
    </row>
    <row r="345" spans="1:10" ht="12.75">
      <c r="A345" s="359" t="s">
        <v>1010</v>
      </c>
      <c r="B345" s="469">
        <v>0</v>
      </c>
      <c r="C345" s="439" t="s">
        <v>516</v>
      </c>
      <c r="D345" s="427" t="s">
        <v>625</v>
      </c>
      <c r="F345" s="290"/>
      <c r="G345" s="379"/>
      <c r="H345" s="163"/>
      <c r="J345" s="104"/>
    </row>
    <row r="346" spans="1:10" ht="12.75">
      <c r="A346" s="359" t="s">
        <v>1010</v>
      </c>
      <c r="B346" s="568">
        <v>3</v>
      </c>
      <c r="C346" s="439" t="s">
        <v>564</v>
      </c>
      <c r="D346" s="303" t="s">
        <v>947</v>
      </c>
      <c r="F346" s="290">
        <f>SUM(B336:B346)</f>
        <v>112</v>
      </c>
      <c r="G346" s="379"/>
      <c r="H346" s="163"/>
      <c r="J346" s="104"/>
    </row>
    <row r="347" spans="1:10" ht="12.75">
      <c r="A347" s="315" t="s">
        <v>1011</v>
      </c>
      <c r="B347" s="568">
        <v>0</v>
      </c>
      <c r="C347" s="439" t="s">
        <v>541</v>
      </c>
      <c r="D347" s="303" t="s">
        <v>969</v>
      </c>
      <c r="F347" s="290"/>
      <c r="G347" s="379"/>
      <c r="H347" s="163"/>
      <c r="J347" s="104"/>
    </row>
    <row r="348" spans="1:10" ht="12.75">
      <c r="A348" s="315" t="s">
        <v>1011</v>
      </c>
      <c r="B348" s="469">
        <v>0</v>
      </c>
      <c r="C348" s="439" t="s">
        <v>604</v>
      </c>
      <c r="D348" s="380" t="s">
        <v>985</v>
      </c>
      <c r="F348" s="290"/>
      <c r="G348" s="379"/>
      <c r="H348" s="8"/>
      <c r="J348" s="104"/>
    </row>
    <row r="349" spans="1:10" ht="12.75">
      <c r="A349" s="315" t="s">
        <v>1011</v>
      </c>
      <c r="B349" s="568">
        <v>20</v>
      </c>
      <c r="C349" s="527" t="s">
        <v>1173</v>
      </c>
      <c r="D349" s="425" t="s">
        <v>55</v>
      </c>
      <c r="F349" s="290"/>
      <c r="G349" s="379"/>
      <c r="H349" s="163"/>
      <c r="J349" s="104"/>
    </row>
    <row r="350" spans="1:10" ht="12.75">
      <c r="A350" s="315" t="s">
        <v>1011</v>
      </c>
      <c r="B350" s="568">
        <v>0</v>
      </c>
      <c r="C350" s="527" t="s">
        <v>157</v>
      </c>
      <c r="D350" s="425" t="s">
        <v>171</v>
      </c>
      <c r="F350" s="290"/>
      <c r="G350" s="379"/>
      <c r="H350" s="163"/>
      <c r="J350" s="104"/>
    </row>
    <row r="351" spans="1:10" ht="12.75">
      <c r="A351" s="302" t="s">
        <v>1011</v>
      </c>
      <c r="B351" s="756">
        <v>0</v>
      </c>
      <c r="C351" s="671" t="s">
        <v>158</v>
      </c>
      <c r="D351" s="427" t="s">
        <v>172</v>
      </c>
      <c r="F351" s="290"/>
      <c r="G351" s="379"/>
      <c r="H351" s="163"/>
      <c r="J351" s="104"/>
    </row>
    <row r="352" spans="1:10" ht="12.75">
      <c r="A352" s="315" t="s">
        <v>1011</v>
      </c>
      <c r="B352" s="568">
        <v>10</v>
      </c>
      <c r="C352" s="439" t="s">
        <v>606</v>
      </c>
      <c r="D352" s="303" t="s">
        <v>940</v>
      </c>
      <c r="F352" s="290"/>
      <c r="G352" s="379"/>
      <c r="H352" s="163"/>
      <c r="J352" s="104"/>
    </row>
    <row r="353" spans="1:10" ht="12.75">
      <c r="A353" s="706" t="s">
        <v>1011</v>
      </c>
      <c r="B353" s="880">
        <v>100</v>
      </c>
      <c r="C353" s="701" t="s">
        <v>548</v>
      </c>
      <c r="D353" s="702" t="s">
        <v>941</v>
      </c>
      <c r="F353" s="290"/>
      <c r="G353" s="379"/>
      <c r="H353" s="163"/>
      <c r="J353" s="104"/>
    </row>
    <row r="354" spans="1:10" ht="12.75">
      <c r="A354" s="359" t="s">
        <v>1011</v>
      </c>
      <c r="B354" s="568">
        <v>0</v>
      </c>
      <c r="C354" s="438" t="s">
        <v>609</v>
      </c>
      <c r="D354" s="425" t="s">
        <v>291</v>
      </c>
      <c r="F354" s="290"/>
      <c r="G354" s="379"/>
      <c r="H354" s="163"/>
      <c r="J354" s="104"/>
    </row>
    <row r="355" spans="1:10" ht="12.75">
      <c r="A355" s="315" t="s">
        <v>1011</v>
      </c>
      <c r="B355" s="568">
        <v>0</v>
      </c>
      <c r="C355" s="439" t="s">
        <v>546</v>
      </c>
      <c r="D355" s="303" t="s">
        <v>997</v>
      </c>
      <c r="F355" s="290"/>
      <c r="G355" s="379"/>
      <c r="H355" s="163"/>
      <c r="J355" s="104"/>
    </row>
    <row r="356" spans="1:10" ht="12.75">
      <c r="A356" s="315" t="s">
        <v>1011</v>
      </c>
      <c r="B356" s="568">
        <v>0</v>
      </c>
      <c r="C356" s="439" t="s">
        <v>954</v>
      </c>
      <c r="D356" s="303" t="s">
        <v>955</v>
      </c>
      <c r="F356" s="290"/>
      <c r="G356" s="379"/>
      <c r="H356" s="163"/>
      <c r="J356" s="104"/>
    </row>
    <row r="357" spans="1:10" ht="12.75">
      <c r="A357" s="315" t="s">
        <v>1011</v>
      </c>
      <c r="B357" s="469">
        <v>5</v>
      </c>
      <c r="C357" s="439" t="s">
        <v>936</v>
      </c>
      <c r="D357" s="299" t="s">
        <v>937</v>
      </c>
      <c r="F357" s="290"/>
      <c r="G357" s="384"/>
      <c r="H357" s="386"/>
      <c r="J357" s="104"/>
    </row>
    <row r="358" spans="1:10" ht="12.75">
      <c r="A358" s="315" t="s">
        <v>1011</v>
      </c>
      <c r="B358" s="568">
        <v>10</v>
      </c>
      <c r="C358" s="439" t="s">
        <v>875</v>
      </c>
      <c r="D358" s="303" t="s">
        <v>943</v>
      </c>
      <c r="F358" s="290"/>
      <c r="G358" s="379"/>
      <c r="H358" s="163"/>
      <c r="J358" s="104"/>
    </row>
    <row r="359" spans="1:10" ht="12.75">
      <c r="A359" s="315" t="s">
        <v>1011</v>
      </c>
      <c r="B359" s="568">
        <v>7</v>
      </c>
      <c r="C359" s="439" t="s">
        <v>554</v>
      </c>
      <c r="D359" s="425" t="s">
        <v>293</v>
      </c>
      <c r="F359" s="290"/>
      <c r="G359" s="379"/>
      <c r="H359" s="163"/>
      <c r="J359" s="104"/>
    </row>
    <row r="360" spans="1:10" ht="12.75">
      <c r="A360" s="315" t="s">
        <v>1011</v>
      </c>
      <c r="B360" s="568">
        <v>30</v>
      </c>
      <c r="C360" s="439" t="s">
        <v>558</v>
      </c>
      <c r="D360" s="303" t="s">
        <v>944</v>
      </c>
      <c r="F360" s="290"/>
      <c r="G360" s="379"/>
      <c r="H360" s="163"/>
      <c r="J360" s="104"/>
    </row>
    <row r="361" spans="1:10" ht="12.75">
      <c r="A361" s="315" t="s">
        <v>1011</v>
      </c>
      <c r="B361" s="568">
        <v>0</v>
      </c>
      <c r="C361" s="439" t="s">
        <v>958</v>
      </c>
      <c r="D361" s="303" t="s">
        <v>959</v>
      </c>
      <c r="F361" s="290"/>
      <c r="G361" s="379"/>
      <c r="H361" s="163"/>
      <c r="J361" s="104"/>
    </row>
    <row r="362" spans="1:10" ht="12.75">
      <c r="A362" s="315" t="s">
        <v>1011</v>
      </c>
      <c r="B362" s="568">
        <v>1</v>
      </c>
      <c r="C362" s="439" t="s">
        <v>847</v>
      </c>
      <c r="D362" s="303" t="s">
        <v>848</v>
      </c>
      <c r="F362" s="290"/>
      <c r="G362" s="379"/>
      <c r="H362" s="163"/>
      <c r="J362" s="104"/>
    </row>
    <row r="363" spans="1:10" ht="12.75">
      <c r="A363" s="315" t="s">
        <v>1011</v>
      </c>
      <c r="B363" s="469">
        <v>0</v>
      </c>
      <c r="C363" s="439" t="s">
        <v>526</v>
      </c>
      <c r="D363" s="303" t="s">
        <v>527</v>
      </c>
      <c r="F363" s="290"/>
      <c r="G363" s="379"/>
      <c r="H363" s="163"/>
      <c r="J363" s="104"/>
    </row>
    <row r="364" spans="1:10" ht="12.75">
      <c r="A364" s="315" t="s">
        <v>1011</v>
      </c>
      <c r="B364" s="469">
        <v>1</v>
      </c>
      <c r="C364" s="439" t="s">
        <v>516</v>
      </c>
      <c r="D364" s="427" t="s">
        <v>625</v>
      </c>
      <c r="F364" s="290"/>
      <c r="G364" s="379"/>
      <c r="H364" s="163"/>
      <c r="J364" s="104"/>
    </row>
    <row r="365" spans="1:10" ht="12.75">
      <c r="A365" s="315" t="s">
        <v>1011</v>
      </c>
      <c r="B365" s="469">
        <v>0</v>
      </c>
      <c r="C365" s="439" t="s">
        <v>851</v>
      </c>
      <c r="D365" s="425" t="s">
        <v>167</v>
      </c>
      <c r="F365" s="290"/>
      <c r="G365" s="379"/>
      <c r="H365" s="163"/>
      <c r="J365" s="104"/>
    </row>
    <row r="366" spans="1:10" ht="12.75">
      <c r="A366" s="315" t="s">
        <v>1011</v>
      </c>
      <c r="B366" s="568">
        <v>0</v>
      </c>
      <c r="C366" s="439" t="s">
        <v>852</v>
      </c>
      <c r="D366" s="425" t="s">
        <v>166</v>
      </c>
      <c r="F366" s="290"/>
      <c r="G366" s="379"/>
      <c r="H366" s="163"/>
      <c r="J366" s="104"/>
    </row>
    <row r="367" spans="1:10" ht="12.75">
      <c r="A367" s="315" t="s">
        <v>1011</v>
      </c>
      <c r="B367" s="469">
        <v>0</v>
      </c>
      <c r="C367" s="439" t="s">
        <v>853</v>
      </c>
      <c r="D367" s="739" t="s">
        <v>298</v>
      </c>
      <c r="F367" s="290"/>
      <c r="G367" s="379"/>
      <c r="H367" s="163"/>
      <c r="J367" s="104"/>
    </row>
    <row r="368" spans="1:10" ht="12.75">
      <c r="A368" s="315" t="s">
        <v>1011</v>
      </c>
      <c r="B368" s="469">
        <v>0</v>
      </c>
      <c r="C368" s="439" t="s">
        <v>881</v>
      </c>
      <c r="D368" s="451" t="s">
        <v>882</v>
      </c>
      <c r="F368" s="290"/>
      <c r="G368" s="379"/>
      <c r="H368" s="163"/>
      <c r="J368" s="104"/>
    </row>
    <row r="369" spans="1:10" ht="12.75">
      <c r="A369" s="315" t="s">
        <v>1011</v>
      </c>
      <c r="B369" s="469">
        <v>0</v>
      </c>
      <c r="C369" s="439" t="s">
        <v>562</v>
      </c>
      <c r="D369" s="303" t="s">
        <v>946</v>
      </c>
      <c r="F369" s="290"/>
      <c r="G369" s="379"/>
      <c r="H369" s="163"/>
      <c r="J369" s="104"/>
    </row>
    <row r="370" spans="1:10" ht="12.75">
      <c r="A370" s="315" t="s">
        <v>1011</v>
      </c>
      <c r="B370" s="568">
        <v>10</v>
      </c>
      <c r="C370" s="439" t="s">
        <v>564</v>
      </c>
      <c r="D370" s="303" t="s">
        <v>947</v>
      </c>
      <c r="F370" s="290">
        <f>SUM(B347:B370)</f>
        <v>194</v>
      </c>
      <c r="G370" s="379"/>
      <c r="H370" s="163"/>
      <c r="J370" s="104"/>
    </row>
    <row r="371" spans="1:10" ht="12.75">
      <c r="A371" s="302" t="s">
        <v>1012</v>
      </c>
      <c r="B371" s="472">
        <v>0</v>
      </c>
      <c r="C371" s="440" t="s">
        <v>510</v>
      </c>
      <c r="D371" s="299" t="s">
        <v>1013</v>
      </c>
      <c r="F371" s="290"/>
      <c r="G371" s="379"/>
      <c r="H371" s="163"/>
      <c r="J371" s="104"/>
    </row>
    <row r="372" spans="1:10" ht="12.75">
      <c r="A372" s="446" t="s">
        <v>1012</v>
      </c>
      <c r="B372" s="881">
        <v>90</v>
      </c>
      <c r="C372" s="448" t="s">
        <v>548</v>
      </c>
      <c r="D372" s="447" t="s">
        <v>941</v>
      </c>
      <c r="F372" s="290"/>
      <c r="G372" s="379"/>
      <c r="H372" s="163"/>
      <c r="J372" s="104"/>
    </row>
    <row r="373" spans="1:10" ht="12.75">
      <c r="A373" s="359" t="s">
        <v>1012</v>
      </c>
      <c r="B373" s="605">
        <v>600</v>
      </c>
      <c r="C373" s="438" t="s">
        <v>608</v>
      </c>
      <c r="D373" s="425" t="s">
        <v>285</v>
      </c>
      <c r="F373" s="290"/>
      <c r="G373" s="379"/>
      <c r="H373" s="163"/>
      <c r="J373" s="104"/>
    </row>
    <row r="374" spans="1:10" ht="12.75">
      <c r="A374" s="359" t="s">
        <v>1012</v>
      </c>
      <c r="B374" s="605">
        <v>0</v>
      </c>
      <c r="C374" s="528" t="s">
        <v>215</v>
      </c>
      <c r="D374" s="425" t="s">
        <v>216</v>
      </c>
      <c r="F374" s="290"/>
      <c r="G374" s="379"/>
      <c r="H374" s="163"/>
      <c r="J374" s="104"/>
    </row>
    <row r="375" spans="1:10" ht="12.75">
      <c r="A375" s="315" t="s">
        <v>1012</v>
      </c>
      <c r="B375" s="568">
        <v>86</v>
      </c>
      <c r="C375" s="439" t="s">
        <v>884</v>
      </c>
      <c r="D375" s="303" t="s">
        <v>948</v>
      </c>
      <c r="F375" s="290"/>
      <c r="G375" s="379"/>
      <c r="H375" s="163"/>
      <c r="J375" s="104"/>
    </row>
    <row r="376" spans="1:10" ht="12.75">
      <c r="A376" s="315" t="s">
        <v>1012</v>
      </c>
      <c r="B376" s="568">
        <v>6</v>
      </c>
      <c r="C376" s="439" t="s">
        <v>554</v>
      </c>
      <c r="D376" s="425" t="s">
        <v>293</v>
      </c>
      <c r="F376" s="290"/>
      <c r="G376" s="379"/>
      <c r="H376" s="163"/>
      <c r="J376" s="104"/>
    </row>
    <row r="377" spans="1:10" ht="12.75">
      <c r="A377" s="315" t="s">
        <v>1012</v>
      </c>
      <c r="B377" s="568">
        <v>0</v>
      </c>
      <c r="C377" s="439" t="s">
        <v>558</v>
      </c>
      <c r="D377" s="303" t="s">
        <v>944</v>
      </c>
      <c r="F377" s="290"/>
      <c r="G377" s="379"/>
      <c r="H377" s="163"/>
      <c r="J377" s="104"/>
    </row>
    <row r="378" spans="1:10" ht="12.75">
      <c r="A378" s="315" t="s">
        <v>1012</v>
      </c>
      <c r="B378" s="568">
        <v>0</v>
      </c>
      <c r="C378" s="439" t="s">
        <v>576</v>
      </c>
      <c r="D378" s="303" t="s">
        <v>971</v>
      </c>
      <c r="F378" s="290">
        <f>SUM(B371:B378)</f>
        <v>782</v>
      </c>
      <c r="G378" s="379"/>
      <c r="H378" s="163"/>
      <c r="J378" s="104"/>
    </row>
    <row r="379" spans="1:10" ht="12.75">
      <c r="A379" s="315" t="s">
        <v>1012</v>
      </c>
      <c r="B379" s="469">
        <v>0</v>
      </c>
      <c r="C379" s="671" t="s">
        <v>853</v>
      </c>
      <c r="D379" s="739" t="s">
        <v>486</v>
      </c>
      <c r="F379" s="290"/>
      <c r="G379" s="379"/>
      <c r="H379" s="163"/>
      <c r="J379" s="104"/>
    </row>
    <row r="380" spans="1:10" ht="12.75">
      <c r="A380" s="302" t="s">
        <v>1014</v>
      </c>
      <c r="B380" s="568">
        <v>0</v>
      </c>
      <c r="C380" s="440" t="s">
        <v>550</v>
      </c>
      <c r="D380" s="299" t="s">
        <v>551</v>
      </c>
      <c r="F380" s="290"/>
      <c r="G380" s="379"/>
      <c r="H380" s="163"/>
      <c r="J380" s="104"/>
    </row>
    <row r="381" spans="1:10" ht="12.75">
      <c r="A381" s="446" t="s">
        <v>1015</v>
      </c>
      <c r="B381" s="881">
        <v>310</v>
      </c>
      <c r="C381" s="448" t="s">
        <v>548</v>
      </c>
      <c r="D381" s="447" t="s">
        <v>941</v>
      </c>
      <c r="F381" s="290"/>
      <c r="G381" s="379"/>
      <c r="H381" s="163"/>
      <c r="J381" s="104"/>
    </row>
    <row r="382" spans="1:10" ht="12.75">
      <c r="A382" s="359" t="s">
        <v>1015</v>
      </c>
      <c r="B382" s="568">
        <v>0</v>
      </c>
      <c r="C382" s="438" t="s">
        <v>608</v>
      </c>
      <c r="D382" s="425" t="s">
        <v>285</v>
      </c>
      <c r="F382" s="290"/>
      <c r="G382" s="379"/>
      <c r="H382" s="163"/>
      <c r="J382" s="104"/>
    </row>
    <row r="383" spans="1:10" ht="12.75">
      <c r="A383" s="315" t="s">
        <v>1015</v>
      </c>
      <c r="B383" s="568">
        <v>50</v>
      </c>
      <c r="C383" s="439" t="s">
        <v>552</v>
      </c>
      <c r="D383" s="303" t="s">
        <v>1016</v>
      </c>
      <c r="F383" s="290"/>
      <c r="G383" s="379"/>
      <c r="H383" s="163"/>
      <c r="J383" s="104"/>
    </row>
    <row r="384" spans="1:10" ht="12.75">
      <c r="A384" s="315" t="s">
        <v>1015</v>
      </c>
      <c r="B384" s="568">
        <v>0</v>
      </c>
      <c r="C384" s="439" t="s">
        <v>562</v>
      </c>
      <c r="D384" s="303" t="s">
        <v>946</v>
      </c>
      <c r="F384" s="290">
        <f>SUM(B381:B384)</f>
        <v>360</v>
      </c>
      <c r="G384" s="379"/>
      <c r="H384" s="163"/>
      <c r="J384" s="104"/>
    </row>
    <row r="385" spans="1:10" ht="12.75">
      <c r="A385" s="302" t="s">
        <v>1083</v>
      </c>
      <c r="B385" s="756">
        <v>0</v>
      </c>
      <c r="C385" s="671" t="s">
        <v>1173</v>
      </c>
      <c r="D385" s="427" t="s">
        <v>55</v>
      </c>
      <c r="F385" s="290"/>
      <c r="G385" s="379"/>
      <c r="H385" s="163"/>
      <c r="J385" s="104"/>
    </row>
    <row r="386" spans="1:10" ht="12.75">
      <c r="A386" s="315" t="s">
        <v>1083</v>
      </c>
      <c r="B386" s="1039">
        <f>10</f>
        <v>10</v>
      </c>
      <c r="C386" s="439" t="s">
        <v>606</v>
      </c>
      <c r="D386" s="303" t="s">
        <v>940</v>
      </c>
      <c r="F386" s="290"/>
      <c r="G386" s="379"/>
      <c r="H386" s="163"/>
      <c r="J386" s="104"/>
    </row>
    <row r="387" spans="1:10" ht="12.75">
      <c r="A387" s="706" t="s">
        <v>1083</v>
      </c>
      <c r="B387" s="880">
        <v>70</v>
      </c>
      <c r="C387" s="701" t="s">
        <v>548</v>
      </c>
      <c r="D387" s="702" t="s">
        <v>941</v>
      </c>
      <c r="F387" s="290"/>
      <c r="G387" s="384"/>
      <c r="H387" s="163"/>
      <c r="J387" s="104"/>
    </row>
    <row r="388" spans="1:10" ht="12.75">
      <c r="A388" s="359" t="s">
        <v>1083</v>
      </c>
      <c r="B388" s="568">
        <v>0</v>
      </c>
      <c r="C388" s="438" t="s">
        <v>609</v>
      </c>
      <c r="D388" s="425" t="s">
        <v>291</v>
      </c>
      <c r="F388" s="290"/>
      <c r="G388" s="384"/>
      <c r="H388" s="385"/>
      <c r="J388" s="104"/>
    </row>
    <row r="389" spans="1:10" ht="12.75">
      <c r="A389" s="315" t="s">
        <v>1083</v>
      </c>
      <c r="B389" s="469">
        <v>2</v>
      </c>
      <c r="C389" s="439" t="s">
        <v>936</v>
      </c>
      <c r="D389" s="299" t="s">
        <v>937</v>
      </c>
      <c r="F389" s="290"/>
      <c r="G389" s="379"/>
      <c r="H389" s="163"/>
      <c r="J389" s="104"/>
    </row>
    <row r="390" spans="1:10" ht="12.75">
      <c r="A390" s="315" t="s">
        <v>1083</v>
      </c>
      <c r="B390" s="1039">
        <f>2</f>
        <v>2</v>
      </c>
      <c r="C390" s="439" t="s">
        <v>875</v>
      </c>
      <c r="D390" s="303" t="s">
        <v>943</v>
      </c>
      <c r="F390" s="290"/>
      <c r="G390" s="379"/>
      <c r="H390" s="163"/>
      <c r="J390" s="104"/>
    </row>
    <row r="391" spans="1:10" ht="12.75">
      <c r="A391" s="315" t="s">
        <v>1083</v>
      </c>
      <c r="B391" s="568">
        <v>2</v>
      </c>
      <c r="C391" s="439" t="s">
        <v>554</v>
      </c>
      <c r="D391" s="425" t="s">
        <v>293</v>
      </c>
      <c r="F391" s="290"/>
      <c r="G391" s="379"/>
      <c r="H391" s="163"/>
      <c r="J391" s="104"/>
    </row>
    <row r="392" spans="1:10" ht="12.75">
      <c r="A392" s="315" t="s">
        <v>1083</v>
      </c>
      <c r="B392" s="568">
        <v>20</v>
      </c>
      <c r="C392" s="439" t="s">
        <v>558</v>
      </c>
      <c r="D392" s="303" t="s">
        <v>944</v>
      </c>
      <c r="F392" s="290"/>
      <c r="G392" s="379"/>
      <c r="H392" s="163"/>
      <c r="J392" s="104"/>
    </row>
    <row r="393" spans="1:10" ht="12.75">
      <c r="A393" s="315" t="s">
        <v>1083</v>
      </c>
      <c r="B393" s="568">
        <v>5</v>
      </c>
      <c r="C393" s="439" t="s">
        <v>958</v>
      </c>
      <c r="D393" s="303" t="s">
        <v>959</v>
      </c>
      <c r="F393" s="290"/>
      <c r="G393" s="379"/>
      <c r="H393" s="163"/>
      <c r="J393" s="104"/>
    </row>
    <row r="394" spans="1:10" ht="12.75">
      <c r="A394" s="315" t="s">
        <v>1083</v>
      </c>
      <c r="B394" s="568">
        <v>0</v>
      </c>
      <c r="C394" s="439" t="s">
        <v>560</v>
      </c>
      <c r="D394" s="303" t="s">
        <v>561</v>
      </c>
      <c r="F394" s="290"/>
      <c r="G394" s="379"/>
      <c r="H394" s="163"/>
      <c r="J394" s="104"/>
    </row>
    <row r="395" spans="1:10" ht="12.75">
      <c r="A395" s="315" t="s">
        <v>1083</v>
      </c>
      <c r="B395" s="469">
        <v>0</v>
      </c>
      <c r="C395" s="439" t="s">
        <v>526</v>
      </c>
      <c r="D395" s="303" t="s">
        <v>527</v>
      </c>
      <c r="F395" s="290"/>
      <c r="G395" s="379"/>
      <c r="H395" s="163"/>
      <c r="J395" s="104"/>
    </row>
    <row r="396" spans="1:10" ht="12.75">
      <c r="A396" s="302" t="s">
        <v>1083</v>
      </c>
      <c r="B396" s="469">
        <v>5</v>
      </c>
      <c r="C396" s="440" t="s">
        <v>516</v>
      </c>
      <c r="D396" s="427" t="s">
        <v>625</v>
      </c>
      <c r="F396" s="290">
        <f>SUM(B385:B396)</f>
        <v>116</v>
      </c>
      <c r="G396" s="379"/>
      <c r="H396" s="163"/>
      <c r="J396" s="104"/>
    </row>
    <row r="397" spans="1:10" ht="12.75">
      <c r="A397" s="446" t="s">
        <v>1084</v>
      </c>
      <c r="B397" s="881">
        <v>210</v>
      </c>
      <c r="C397" s="448" t="s">
        <v>548</v>
      </c>
      <c r="D397" s="447" t="s">
        <v>941</v>
      </c>
      <c r="F397" s="290"/>
      <c r="G397" s="379"/>
      <c r="H397" s="163"/>
      <c r="J397" s="104"/>
    </row>
    <row r="398" spans="1:10" ht="12.75">
      <c r="A398" s="359" t="s">
        <v>1084</v>
      </c>
      <c r="B398" s="469">
        <v>0</v>
      </c>
      <c r="C398" s="438" t="s">
        <v>604</v>
      </c>
      <c r="D398" s="444" t="s">
        <v>985</v>
      </c>
      <c r="F398" s="290"/>
      <c r="G398" s="379"/>
      <c r="H398" s="163"/>
      <c r="J398" s="104"/>
    </row>
    <row r="399" spans="1:10" ht="12.75">
      <c r="A399" s="315" t="s">
        <v>1084</v>
      </c>
      <c r="B399" s="568">
        <v>0</v>
      </c>
      <c r="C399" s="527" t="s">
        <v>1173</v>
      </c>
      <c r="D399" s="425" t="s">
        <v>55</v>
      </c>
      <c r="F399" s="290"/>
      <c r="G399" s="379"/>
      <c r="H399" s="8"/>
      <c r="J399" s="104"/>
    </row>
    <row r="400" spans="1:10" ht="12.75">
      <c r="A400" s="315" t="s">
        <v>1084</v>
      </c>
      <c r="B400" s="568">
        <v>0</v>
      </c>
      <c r="C400" s="527" t="s">
        <v>157</v>
      </c>
      <c r="D400" s="425" t="s">
        <v>171</v>
      </c>
      <c r="F400" s="290"/>
      <c r="G400" s="379"/>
      <c r="H400" s="163"/>
      <c r="J400" s="104"/>
    </row>
    <row r="401" spans="1:10" ht="12.75">
      <c r="A401" s="315" t="s">
        <v>1084</v>
      </c>
      <c r="B401" s="568">
        <v>0</v>
      </c>
      <c r="C401" s="527" t="s">
        <v>158</v>
      </c>
      <c r="D401" s="425" t="s">
        <v>172</v>
      </c>
      <c r="F401" s="290"/>
      <c r="G401" s="379"/>
      <c r="H401" s="163"/>
      <c r="J401" s="104"/>
    </row>
    <row r="402" spans="1:10" ht="12.75">
      <c r="A402" s="315" t="s">
        <v>1084</v>
      </c>
      <c r="B402" s="568">
        <v>0</v>
      </c>
      <c r="C402" s="439" t="s">
        <v>609</v>
      </c>
      <c r="D402" s="425" t="s">
        <v>291</v>
      </c>
      <c r="F402" s="290"/>
      <c r="G402" s="379"/>
      <c r="H402" s="385"/>
      <c r="J402" s="104"/>
    </row>
    <row r="403" spans="1:10" ht="12.75">
      <c r="A403" s="315" t="s">
        <v>1084</v>
      </c>
      <c r="B403" s="568">
        <v>0</v>
      </c>
      <c r="C403" s="527" t="s">
        <v>550</v>
      </c>
      <c r="D403" s="425" t="s">
        <v>551</v>
      </c>
      <c r="F403" s="290"/>
      <c r="G403" s="379"/>
      <c r="H403" s="385"/>
      <c r="J403" s="104"/>
    </row>
    <row r="404" spans="1:10" ht="12.75">
      <c r="A404" s="315" t="s">
        <v>1084</v>
      </c>
      <c r="B404" s="469">
        <v>0</v>
      </c>
      <c r="C404" s="527" t="s">
        <v>998</v>
      </c>
      <c r="D404" s="347" t="s">
        <v>999</v>
      </c>
      <c r="F404" s="290"/>
      <c r="G404" s="379"/>
      <c r="H404" s="385"/>
      <c r="J404" s="104"/>
    </row>
    <row r="405" spans="1:10" ht="12.75">
      <c r="A405" s="315" t="s">
        <v>1084</v>
      </c>
      <c r="B405" s="568">
        <v>0</v>
      </c>
      <c r="C405" s="439" t="s">
        <v>875</v>
      </c>
      <c r="D405" s="303" t="s">
        <v>943</v>
      </c>
      <c r="F405" s="290"/>
      <c r="G405" s="379"/>
      <c r="H405" s="163"/>
      <c r="J405" s="104"/>
    </row>
    <row r="406" spans="1:10" ht="12.75">
      <c r="A406" s="315" t="s">
        <v>1084</v>
      </c>
      <c r="B406" s="568">
        <v>10</v>
      </c>
      <c r="C406" s="439" t="s">
        <v>554</v>
      </c>
      <c r="D406" s="425" t="s">
        <v>293</v>
      </c>
      <c r="F406" s="290"/>
      <c r="G406" s="379"/>
      <c r="H406" s="163"/>
      <c r="J406" s="104"/>
    </row>
    <row r="407" spans="1:10" ht="12.75">
      <c r="A407" s="315" t="s">
        <v>1084</v>
      </c>
      <c r="B407" s="568">
        <v>0</v>
      </c>
      <c r="C407" s="439" t="s">
        <v>558</v>
      </c>
      <c r="D407" s="303" t="s">
        <v>944</v>
      </c>
      <c r="F407" s="290"/>
      <c r="G407" s="379"/>
      <c r="H407" s="163"/>
      <c r="J407" s="104"/>
    </row>
    <row r="408" spans="1:10" ht="12.75">
      <c r="A408" s="315" t="s">
        <v>1084</v>
      </c>
      <c r="B408" s="568">
        <v>7</v>
      </c>
      <c r="C408" s="527" t="s">
        <v>576</v>
      </c>
      <c r="D408" s="427" t="s">
        <v>971</v>
      </c>
      <c r="F408" s="290"/>
      <c r="G408" s="379"/>
      <c r="H408" s="163"/>
      <c r="J408" s="104"/>
    </row>
    <row r="409" spans="1:10" ht="12.75">
      <c r="A409" s="315" t="s">
        <v>1084</v>
      </c>
      <c r="B409" s="469">
        <v>0</v>
      </c>
      <c r="C409" s="439" t="s">
        <v>516</v>
      </c>
      <c r="D409" s="427" t="s">
        <v>625</v>
      </c>
      <c r="F409" s="290">
        <f>SUM(B397:B410)</f>
        <v>227</v>
      </c>
      <c r="G409" s="379"/>
      <c r="H409" s="163"/>
      <c r="J409" s="104"/>
    </row>
    <row r="410" spans="1:10" ht="12.75">
      <c r="A410" s="315" t="s">
        <v>1084</v>
      </c>
      <c r="B410" s="568">
        <v>0</v>
      </c>
      <c r="C410" s="527" t="s">
        <v>564</v>
      </c>
      <c r="D410" s="425" t="s">
        <v>947</v>
      </c>
      <c r="F410" s="290"/>
      <c r="G410" s="379"/>
      <c r="H410" s="163"/>
      <c r="J410" s="104"/>
    </row>
    <row r="411" spans="1:10" ht="12.75" customHeight="1">
      <c r="A411" s="315" t="s">
        <v>1085</v>
      </c>
      <c r="B411" s="469">
        <v>0</v>
      </c>
      <c r="C411" s="439" t="s">
        <v>570</v>
      </c>
      <c r="D411" s="303" t="s">
        <v>993</v>
      </c>
      <c r="F411" s="290"/>
      <c r="G411" s="379"/>
      <c r="H411" s="163"/>
      <c r="J411" s="104"/>
    </row>
    <row r="412" spans="1:10" ht="12.75">
      <c r="A412" s="315" t="s">
        <v>1085</v>
      </c>
      <c r="B412" s="568">
        <v>30</v>
      </c>
      <c r="C412" s="439" t="s">
        <v>523</v>
      </c>
      <c r="D412" s="303" t="s">
        <v>950</v>
      </c>
      <c r="F412" s="290"/>
      <c r="G412" s="379"/>
      <c r="H412" s="163"/>
      <c r="J412" s="104"/>
    </row>
    <row r="413" spans="1:10" ht="12.75">
      <c r="A413" s="315" t="s">
        <v>1085</v>
      </c>
      <c r="B413" s="568">
        <f>30+27</f>
        <v>57</v>
      </c>
      <c r="C413" s="439" t="s">
        <v>541</v>
      </c>
      <c r="D413" s="303" t="s">
        <v>969</v>
      </c>
      <c r="F413" s="290"/>
      <c r="G413" s="379"/>
      <c r="H413" s="163"/>
      <c r="J413" s="104"/>
    </row>
    <row r="414" spans="1:10" ht="12.75">
      <c r="A414" s="315" t="s">
        <v>1085</v>
      </c>
      <c r="B414" s="469">
        <v>0</v>
      </c>
      <c r="C414" s="439" t="s">
        <v>585</v>
      </c>
      <c r="D414" s="303" t="s">
        <v>1086</v>
      </c>
      <c r="F414" s="290"/>
      <c r="G414" s="379"/>
      <c r="H414" s="163"/>
      <c r="J414" s="104"/>
    </row>
    <row r="415" spans="1:10" ht="12.75">
      <c r="A415" s="315" t="s">
        <v>1085</v>
      </c>
      <c r="B415" s="469">
        <v>0</v>
      </c>
      <c r="C415" s="439" t="s">
        <v>604</v>
      </c>
      <c r="D415" s="380" t="s">
        <v>985</v>
      </c>
      <c r="F415" s="290"/>
      <c r="G415" s="379"/>
      <c r="H415" s="163"/>
      <c r="J415" s="104"/>
    </row>
    <row r="416" spans="1:10" ht="12.75">
      <c r="A416" s="315" t="s">
        <v>1085</v>
      </c>
      <c r="B416" s="568">
        <f>110+18</f>
        <v>128</v>
      </c>
      <c r="C416" s="527" t="s">
        <v>1173</v>
      </c>
      <c r="D416" s="425" t="s">
        <v>55</v>
      </c>
      <c r="F416" s="290"/>
      <c r="G416" s="379"/>
      <c r="H416" s="8"/>
      <c r="J416" s="104"/>
    </row>
    <row r="417" spans="1:10" ht="12.75">
      <c r="A417" s="315" t="s">
        <v>1085</v>
      </c>
      <c r="B417" s="568">
        <v>25</v>
      </c>
      <c r="C417" s="435" t="s">
        <v>159</v>
      </c>
      <c r="D417" s="425" t="s">
        <v>170</v>
      </c>
      <c r="F417" s="290"/>
      <c r="G417" s="379"/>
      <c r="H417" s="163"/>
      <c r="J417" s="104"/>
    </row>
    <row r="418" spans="1:10" ht="12.75">
      <c r="A418" s="315" t="s">
        <v>1085</v>
      </c>
      <c r="B418" s="568">
        <v>5</v>
      </c>
      <c r="C418" s="527" t="s">
        <v>157</v>
      </c>
      <c r="D418" s="425" t="s">
        <v>171</v>
      </c>
      <c r="F418" s="290"/>
      <c r="G418" s="379"/>
      <c r="H418" s="163"/>
      <c r="J418" s="104"/>
    </row>
    <row r="419" spans="1:10" ht="12.75">
      <c r="A419" s="302" t="s">
        <v>1085</v>
      </c>
      <c r="B419" s="756">
        <v>400</v>
      </c>
      <c r="C419" s="671" t="s">
        <v>158</v>
      </c>
      <c r="D419" s="427" t="s">
        <v>172</v>
      </c>
      <c r="F419" s="290"/>
      <c r="G419" s="379"/>
      <c r="H419" s="163"/>
      <c r="J419" s="104"/>
    </row>
    <row r="420" spans="1:10" ht="12.75">
      <c r="A420" s="302" t="s">
        <v>1085</v>
      </c>
      <c r="B420" s="756">
        <v>0</v>
      </c>
      <c r="C420" s="671" t="s">
        <v>476</v>
      </c>
      <c r="D420" s="427" t="s">
        <v>484</v>
      </c>
      <c r="F420" s="290"/>
      <c r="G420" s="379"/>
      <c r="H420" s="163"/>
      <c r="J420" s="104"/>
    </row>
    <row r="421" spans="1:10" ht="12.75">
      <c r="A421" s="315" t="s">
        <v>1085</v>
      </c>
      <c r="B421" s="568">
        <v>50</v>
      </c>
      <c r="C421" s="439" t="s">
        <v>606</v>
      </c>
      <c r="D421" s="303" t="s">
        <v>940</v>
      </c>
      <c r="F421" s="290"/>
      <c r="G421" s="379"/>
      <c r="H421" s="163"/>
      <c r="J421" s="104"/>
    </row>
    <row r="422" spans="1:10" ht="12.75">
      <c r="A422" s="706" t="s">
        <v>1085</v>
      </c>
      <c r="B422" s="605">
        <f>720-15+58+90+28</f>
        <v>881</v>
      </c>
      <c r="C422" s="703" t="s">
        <v>548</v>
      </c>
      <c r="D422" s="702" t="s">
        <v>941</v>
      </c>
      <c r="F422" s="290"/>
      <c r="G422" s="379"/>
      <c r="H422" s="163"/>
      <c r="J422" s="104"/>
    </row>
    <row r="423" spans="1:10" ht="12.75">
      <c r="A423" s="359" t="s">
        <v>1085</v>
      </c>
      <c r="B423" s="605">
        <v>20</v>
      </c>
      <c r="C423" s="438" t="s">
        <v>608</v>
      </c>
      <c r="D423" s="425" t="s">
        <v>285</v>
      </c>
      <c r="F423" s="290"/>
      <c r="G423" s="379"/>
      <c r="H423" s="163"/>
      <c r="J423" s="104"/>
    </row>
    <row r="424" spans="1:10" ht="12.75">
      <c r="A424" s="315" t="s">
        <v>1085</v>
      </c>
      <c r="B424" s="568">
        <v>170</v>
      </c>
      <c r="C424" s="439" t="s">
        <v>609</v>
      </c>
      <c r="D424" s="425" t="s">
        <v>291</v>
      </c>
      <c r="F424" s="290"/>
      <c r="G424" s="379"/>
      <c r="H424" s="163"/>
      <c r="J424" s="104"/>
    </row>
    <row r="425" spans="1:10" ht="12.75">
      <c r="A425" s="315" t="s">
        <v>1085</v>
      </c>
      <c r="B425" s="568">
        <v>50</v>
      </c>
      <c r="C425" s="439" t="s">
        <v>610</v>
      </c>
      <c r="D425" s="303" t="s">
        <v>978</v>
      </c>
      <c r="F425" s="56"/>
      <c r="G425" s="379"/>
      <c r="H425" s="385"/>
      <c r="J425" s="104"/>
    </row>
    <row r="426" spans="1:10" ht="12.75">
      <c r="A426" s="315" t="s">
        <v>1085</v>
      </c>
      <c r="B426" s="568">
        <v>20</v>
      </c>
      <c r="C426" s="439" t="s">
        <v>612</v>
      </c>
      <c r="D426" s="303" t="s">
        <v>953</v>
      </c>
      <c r="F426" s="56"/>
      <c r="G426" s="379"/>
      <c r="H426" s="163"/>
      <c r="J426" s="104"/>
    </row>
    <row r="427" spans="1:10" ht="12.75">
      <c r="A427" s="315" t="s">
        <v>1085</v>
      </c>
      <c r="B427" s="568">
        <v>10</v>
      </c>
      <c r="C427" s="439" t="s">
        <v>546</v>
      </c>
      <c r="D427" s="303" t="s">
        <v>997</v>
      </c>
      <c r="F427" s="56"/>
      <c r="G427" s="379"/>
      <c r="H427" s="163"/>
      <c r="J427" s="104"/>
    </row>
    <row r="428" spans="1:10" ht="12.75">
      <c r="A428" s="315" t="s">
        <v>1085</v>
      </c>
      <c r="B428" s="568">
        <v>100</v>
      </c>
      <c r="C428" s="439" t="s">
        <v>550</v>
      </c>
      <c r="D428" s="303" t="s">
        <v>551</v>
      </c>
      <c r="F428" s="56"/>
      <c r="G428" s="379"/>
      <c r="H428" s="163"/>
      <c r="J428" s="104"/>
    </row>
    <row r="429" spans="1:10" ht="12.75">
      <c r="A429" s="315" t="s">
        <v>1085</v>
      </c>
      <c r="B429" s="568">
        <v>100</v>
      </c>
      <c r="C429" s="439" t="s">
        <v>552</v>
      </c>
      <c r="D429" s="303" t="s">
        <v>1016</v>
      </c>
      <c r="F429" s="56"/>
      <c r="G429" s="379"/>
      <c r="H429" s="163"/>
      <c r="J429" s="104"/>
    </row>
    <row r="430" spans="1:10" ht="12.75">
      <c r="A430" s="315" t="s">
        <v>1085</v>
      </c>
      <c r="B430" s="568">
        <v>103</v>
      </c>
      <c r="C430" s="439" t="s">
        <v>884</v>
      </c>
      <c r="D430" s="303" t="s">
        <v>948</v>
      </c>
      <c r="F430" s="473"/>
      <c r="G430" s="379"/>
      <c r="H430" s="163"/>
      <c r="J430" s="104"/>
    </row>
    <row r="431" spans="1:10" ht="12.75">
      <c r="A431" s="315" t="s">
        <v>1085</v>
      </c>
      <c r="B431" s="568">
        <v>12</v>
      </c>
      <c r="C431" s="439" t="s">
        <v>954</v>
      </c>
      <c r="D431" s="303" t="s">
        <v>955</v>
      </c>
      <c r="F431" s="56"/>
      <c r="G431" s="379"/>
      <c r="H431" s="163"/>
      <c r="J431" s="104"/>
    </row>
    <row r="432" spans="1:10" ht="12.75">
      <c r="A432" s="315" t="s">
        <v>1085</v>
      </c>
      <c r="B432" s="469">
        <v>0</v>
      </c>
      <c r="C432" s="439" t="s">
        <v>973</v>
      </c>
      <c r="D432" s="303" t="s">
        <v>974</v>
      </c>
      <c r="F432" s="56"/>
      <c r="G432" s="379"/>
      <c r="H432" s="163"/>
      <c r="J432" s="104"/>
    </row>
    <row r="433" spans="1:10" ht="12.75">
      <c r="A433" s="315" t="s">
        <v>1085</v>
      </c>
      <c r="B433" s="568">
        <v>7</v>
      </c>
      <c r="C433" s="439" t="s">
        <v>936</v>
      </c>
      <c r="D433" s="299" t="s">
        <v>937</v>
      </c>
      <c r="F433" s="56"/>
      <c r="G433" s="379"/>
      <c r="H433" s="163"/>
      <c r="J433" s="104"/>
    </row>
    <row r="434" spans="1:10" ht="12.75">
      <c r="A434" s="315" t="s">
        <v>1085</v>
      </c>
      <c r="B434" s="469">
        <v>0</v>
      </c>
      <c r="C434" s="527" t="s">
        <v>998</v>
      </c>
      <c r="D434" s="347" t="s">
        <v>999</v>
      </c>
      <c r="F434" s="56"/>
      <c r="G434" s="379"/>
      <c r="H434" s="163"/>
      <c r="J434" s="104"/>
    </row>
    <row r="435" spans="1:10" ht="12.75">
      <c r="A435" s="315" t="s">
        <v>1085</v>
      </c>
      <c r="B435" s="568">
        <v>35</v>
      </c>
      <c r="C435" s="439" t="s">
        <v>875</v>
      </c>
      <c r="D435" s="303" t="s">
        <v>943</v>
      </c>
      <c r="F435" s="56"/>
      <c r="G435" s="379"/>
      <c r="H435" s="163"/>
      <c r="J435" s="104"/>
    </row>
    <row r="436" spans="1:10" ht="12.75">
      <c r="A436" s="315" t="s">
        <v>1085</v>
      </c>
      <c r="B436" s="756">
        <v>220</v>
      </c>
      <c r="C436" s="439" t="s">
        <v>554</v>
      </c>
      <c r="D436" s="425" t="s">
        <v>293</v>
      </c>
      <c r="F436" s="56"/>
      <c r="G436" s="379"/>
      <c r="H436" s="163"/>
      <c r="J436" s="104"/>
    </row>
    <row r="437" spans="1:10" ht="12.75">
      <c r="A437" s="315" t="s">
        <v>1085</v>
      </c>
      <c r="B437" s="469">
        <v>0</v>
      </c>
      <c r="C437" s="439" t="s">
        <v>926</v>
      </c>
      <c r="D437" s="303" t="s">
        <v>956</v>
      </c>
      <c r="F437" s="56"/>
      <c r="G437" s="379"/>
      <c r="H437" s="163"/>
      <c r="J437" s="104"/>
    </row>
    <row r="438" spans="1:10" ht="12.75">
      <c r="A438" s="315" t="s">
        <v>1085</v>
      </c>
      <c r="B438" s="568">
        <v>25</v>
      </c>
      <c r="C438" s="487" t="s">
        <v>521</v>
      </c>
      <c r="D438" s="303" t="s">
        <v>522</v>
      </c>
      <c r="F438" s="56"/>
      <c r="G438" s="379"/>
      <c r="H438" s="163"/>
      <c r="J438" s="104"/>
    </row>
    <row r="439" spans="1:10" ht="12.75">
      <c r="A439" s="315" t="s">
        <v>1085</v>
      </c>
      <c r="B439" s="568">
        <v>25</v>
      </c>
      <c r="C439" s="487" t="s">
        <v>556</v>
      </c>
      <c r="D439" s="303" t="s">
        <v>957</v>
      </c>
      <c r="F439" s="290"/>
      <c r="G439" s="379"/>
      <c r="H439" s="163"/>
      <c r="J439" s="104"/>
    </row>
    <row r="440" spans="1:10" ht="12.75">
      <c r="A440" s="315" t="s">
        <v>1085</v>
      </c>
      <c r="B440" s="568">
        <v>260</v>
      </c>
      <c r="C440" s="487" t="s">
        <v>558</v>
      </c>
      <c r="D440" s="303" t="s">
        <v>944</v>
      </c>
      <c r="F440" s="290"/>
      <c r="G440" s="379"/>
      <c r="H440" s="163"/>
      <c r="J440" s="104"/>
    </row>
    <row r="441" spans="1:10" ht="12.75">
      <c r="A441" s="315" t="s">
        <v>1085</v>
      </c>
      <c r="B441" s="756">
        <v>3500</v>
      </c>
      <c r="C441" s="487" t="s">
        <v>576</v>
      </c>
      <c r="D441" s="299" t="s">
        <v>971</v>
      </c>
      <c r="F441" s="290"/>
      <c r="G441" s="379"/>
      <c r="H441" s="163"/>
      <c r="J441" s="104"/>
    </row>
    <row r="442" spans="1:10" ht="12.75">
      <c r="A442" s="315" t="s">
        <v>1085</v>
      </c>
      <c r="B442" s="568">
        <v>30</v>
      </c>
      <c r="C442" s="487" t="s">
        <v>958</v>
      </c>
      <c r="D442" s="303" t="s">
        <v>959</v>
      </c>
      <c r="F442" s="290"/>
      <c r="G442" s="379"/>
      <c r="H442" s="163"/>
      <c r="J442" s="104"/>
    </row>
    <row r="443" spans="1:10" ht="12.75">
      <c r="A443" s="315" t="s">
        <v>1085</v>
      </c>
      <c r="B443" s="568">
        <v>33</v>
      </c>
      <c r="C443" s="487" t="s">
        <v>847</v>
      </c>
      <c r="D443" s="303" t="s">
        <v>848</v>
      </c>
      <c r="F443" s="290"/>
      <c r="G443" s="379"/>
      <c r="H443" s="163"/>
      <c r="J443" s="104"/>
    </row>
    <row r="444" spans="1:10" ht="12.75">
      <c r="A444" s="315" t="s">
        <v>1085</v>
      </c>
      <c r="B444" s="568">
        <v>60</v>
      </c>
      <c r="C444" s="487" t="s">
        <v>560</v>
      </c>
      <c r="D444" s="303" t="s">
        <v>561</v>
      </c>
      <c r="F444" s="290"/>
      <c r="G444" s="379"/>
      <c r="H444" s="163"/>
      <c r="J444" s="104"/>
    </row>
    <row r="445" spans="1:10" ht="12.75">
      <c r="A445" s="315" t="s">
        <v>1085</v>
      </c>
      <c r="B445" s="568">
        <v>0</v>
      </c>
      <c r="C445" s="487" t="s">
        <v>980</v>
      </c>
      <c r="D445" s="303" t="s">
        <v>981</v>
      </c>
      <c r="F445" s="290"/>
      <c r="G445" s="379"/>
      <c r="H445" s="163"/>
      <c r="J445" s="104"/>
    </row>
    <row r="446" spans="1:10" ht="12.75">
      <c r="A446" s="315" t="s">
        <v>1085</v>
      </c>
      <c r="B446" s="469">
        <v>0</v>
      </c>
      <c r="C446" s="487" t="s">
        <v>526</v>
      </c>
      <c r="D446" s="303" t="s">
        <v>527</v>
      </c>
      <c r="F446" s="290"/>
      <c r="G446" s="379"/>
      <c r="H446" s="163"/>
      <c r="J446" s="104"/>
    </row>
    <row r="447" spans="1:10" ht="12.75">
      <c r="A447" s="315" t="s">
        <v>1085</v>
      </c>
      <c r="B447" s="469">
        <v>0</v>
      </c>
      <c r="C447" s="487" t="s">
        <v>516</v>
      </c>
      <c r="D447" s="427" t="s">
        <v>625</v>
      </c>
      <c r="F447" s="290"/>
      <c r="G447" s="379"/>
      <c r="H447" s="163"/>
      <c r="J447" s="104"/>
    </row>
    <row r="448" spans="1:10" ht="12.75">
      <c r="A448" s="315" t="s">
        <v>1085</v>
      </c>
      <c r="B448" s="469">
        <v>0</v>
      </c>
      <c r="C448" s="439" t="s">
        <v>851</v>
      </c>
      <c r="D448" s="425" t="s">
        <v>167</v>
      </c>
      <c r="F448" s="290"/>
      <c r="G448" s="379"/>
      <c r="H448" s="163"/>
      <c r="J448" s="104"/>
    </row>
    <row r="449" spans="1:10" ht="12.75">
      <c r="A449" s="315" t="s">
        <v>1085</v>
      </c>
      <c r="B449" s="568">
        <f>9+18</f>
        <v>27</v>
      </c>
      <c r="C449" s="439" t="s">
        <v>852</v>
      </c>
      <c r="D449" s="425" t="s">
        <v>166</v>
      </c>
      <c r="F449" s="290"/>
      <c r="G449" s="379"/>
      <c r="H449" s="163"/>
      <c r="J449" s="104"/>
    </row>
    <row r="450" spans="1:10" ht="12.75">
      <c r="A450" s="315" t="s">
        <v>1085</v>
      </c>
      <c r="B450" s="469">
        <v>0</v>
      </c>
      <c r="C450" s="439" t="s">
        <v>853</v>
      </c>
      <c r="D450" s="739" t="s">
        <v>298</v>
      </c>
      <c r="F450" s="290"/>
      <c r="G450" s="379"/>
      <c r="H450" s="163"/>
      <c r="J450" s="104"/>
    </row>
    <row r="451" spans="1:10" ht="12.75">
      <c r="A451" s="315" t="s">
        <v>1085</v>
      </c>
      <c r="B451" s="469">
        <v>0</v>
      </c>
      <c r="C451" s="439" t="s">
        <v>881</v>
      </c>
      <c r="D451" s="451" t="s">
        <v>882</v>
      </c>
      <c r="F451" s="290"/>
      <c r="G451" s="379"/>
      <c r="H451" s="163"/>
      <c r="J451" s="104"/>
    </row>
    <row r="452" spans="1:10" ht="12.75">
      <c r="A452" s="315" t="s">
        <v>1085</v>
      </c>
      <c r="B452" s="469">
        <v>1</v>
      </c>
      <c r="C452" s="439" t="s">
        <v>562</v>
      </c>
      <c r="D452" s="303" t="s">
        <v>946</v>
      </c>
      <c r="F452" s="290"/>
      <c r="G452" s="379"/>
      <c r="H452" s="163"/>
      <c r="J452" s="104"/>
    </row>
    <row r="453" spans="1:10" ht="12.75">
      <c r="A453" s="315" t="s">
        <v>1085</v>
      </c>
      <c r="B453" s="756">
        <f>55+29</f>
        <v>84</v>
      </c>
      <c r="C453" s="439" t="s">
        <v>564</v>
      </c>
      <c r="D453" s="303" t="s">
        <v>947</v>
      </c>
      <c r="F453" s="290"/>
      <c r="G453" s="379"/>
      <c r="H453" s="163"/>
      <c r="J453" s="104"/>
    </row>
    <row r="454" spans="1:10" ht="12.75">
      <c r="A454" s="315" t="s">
        <v>1085</v>
      </c>
      <c r="B454" s="469">
        <v>0</v>
      </c>
      <c r="C454" s="440" t="s">
        <v>565</v>
      </c>
      <c r="D454" s="299" t="s">
        <v>982</v>
      </c>
      <c r="F454" s="290"/>
      <c r="G454" s="384"/>
      <c r="H454" s="163"/>
      <c r="J454" s="104"/>
    </row>
    <row r="455" spans="1:10" ht="13.5" thickBot="1">
      <c r="A455" s="315" t="s">
        <v>1085</v>
      </c>
      <c r="B455" s="876">
        <f>1731-5-170-60-432-65-27+15-5-33-10-130+37+100-90-25-9+38-7-134-134-9+13+6-5+100-100</f>
        <v>590</v>
      </c>
      <c r="C455" s="318" t="s">
        <v>1087</v>
      </c>
      <c r="D455" s="330" t="s">
        <v>1088</v>
      </c>
      <c r="F455" s="56">
        <f>SUM(B411:B455)</f>
        <v>7058</v>
      </c>
      <c r="G455" s="384"/>
      <c r="H455" s="163"/>
      <c r="J455" s="104"/>
    </row>
    <row r="456" spans="1:10" s="331" customFormat="1" ht="13.5" thickBot="1">
      <c r="A456" s="377" t="s">
        <v>358</v>
      </c>
      <c r="B456" s="570">
        <f>SUM(B336:B455)</f>
        <v>8849</v>
      </c>
      <c r="C456" s="320"/>
      <c r="D456" s="321"/>
      <c r="F456" s="290"/>
      <c r="G456" s="379"/>
      <c r="H456" s="387"/>
      <c r="J456" s="104"/>
    </row>
    <row r="457" spans="1:10" s="331" customFormat="1" ht="6" customHeight="1">
      <c r="A457" s="352"/>
      <c r="B457" s="378"/>
      <c r="C457" s="308"/>
      <c r="D457" s="352"/>
      <c r="E457" s="352"/>
      <c r="F457" s="290"/>
      <c r="G457" s="308"/>
      <c r="H457" s="163"/>
      <c r="I457" s="352"/>
      <c r="J457" s="104"/>
    </row>
    <row r="458" spans="1:10" s="331" customFormat="1" ht="6" customHeight="1">
      <c r="A458" s="352"/>
      <c r="B458" s="378"/>
      <c r="C458" s="308"/>
      <c r="D458" s="352"/>
      <c r="E458" s="352"/>
      <c r="F458" s="290"/>
      <c r="G458" s="308"/>
      <c r="H458" s="163"/>
      <c r="I458" s="352"/>
      <c r="J458" s="104"/>
    </row>
    <row r="459" spans="1:10" s="331" customFormat="1" ht="6" customHeight="1">
      <c r="A459" s="352"/>
      <c r="B459" s="378"/>
      <c r="C459" s="308"/>
      <c r="D459" s="352"/>
      <c r="E459" s="352"/>
      <c r="F459" s="290"/>
      <c r="G459" s="308"/>
      <c r="H459" s="163"/>
      <c r="I459" s="352"/>
      <c r="J459" s="104"/>
    </row>
    <row r="460" spans="1:10" ht="19.5" thickBot="1">
      <c r="A460" s="307" t="s">
        <v>1089</v>
      </c>
      <c r="B460" s="238"/>
      <c r="C460" s="308"/>
      <c r="F460" s="290"/>
      <c r="G460" s="308"/>
      <c r="H460" s="163"/>
      <c r="J460" s="104"/>
    </row>
    <row r="461" spans="1:10" ht="12.75">
      <c r="A461" s="292" t="s">
        <v>500</v>
      </c>
      <c r="B461" s="1029" t="s">
        <v>1219</v>
      </c>
      <c r="C461" s="309" t="s">
        <v>502</v>
      </c>
      <c r="D461" s="310" t="s">
        <v>503</v>
      </c>
      <c r="F461" s="114"/>
      <c r="G461" s="388"/>
      <c r="H461" s="389"/>
      <c r="J461" s="104"/>
    </row>
    <row r="462" spans="1:10" ht="13.5" thickBot="1">
      <c r="A462" s="295"/>
      <c r="B462" s="296" t="s">
        <v>695</v>
      </c>
      <c r="C462" s="311" t="s">
        <v>504</v>
      </c>
      <c r="D462" s="312"/>
      <c r="J462" s="104"/>
    </row>
    <row r="463" spans="1:10" ht="12.75">
      <c r="A463" s="313" t="s">
        <v>1090</v>
      </c>
      <c r="B463" s="567">
        <v>0</v>
      </c>
      <c r="C463" s="486" t="s">
        <v>523</v>
      </c>
      <c r="D463" s="303" t="s">
        <v>950</v>
      </c>
      <c r="F463" s="290"/>
      <c r="G463" s="379"/>
      <c r="H463" s="163"/>
      <c r="J463" s="104"/>
    </row>
    <row r="464" spans="1:10" ht="12.75">
      <c r="A464" s="315" t="s">
        <v>1090</v>
      </c>
      <c r="B464" s="469">
        <v>0</v>
      </c>
      <c r="C464" s="487" t="s">
        <v>541</v>
      </c>
      <c r="D464" s="303" t="s">
        <v>868</v>
      </c>
      <c r="F464" s="290"/>
      <c r="G464" s="379"/>
      <c r="H464" s="163"/>
      <c r="J464" s="104"/>
    </row>
    <row r="465" spans="1:10" ht="12.75">
      <c r="A465" s="315" t="s">
        <v>1090</v>
      </c>
      <c r="B465" s="469">
        <v>0</v>
      </c>
      <c r="C465" s="487" t="s">
        <v>604</v>
      </c>
      <c r="D465" s="380" t="s">
        <v>985</v>
      </c>
      <c r="F465" s="290"/>
      <c r="G465" s="379"/>
      <c r="H465" s="8"/>
      <c r="J465" s="104"/>
    </row>
    <row r="466" spans="1:10" ht="12.75">
      <c r="A466" s="315" t="s">
        <v>1090</v>
      </c>
      <c r="B466" s="568">
        <v>25</v>
      </c>
      <c r="C466" s="491" t="s">
        <v>1173</v>
      </c>
      <c r="D466" s="425" t="s">
        <v>55</v>
      </c>
      <c r="F466" s="290"/>
      <c r="G466" s="379"/>
      <c r="H466" s="163"/>
      <c r="J466" s="104"/>
    </row>
    <row r="467" spans="1:10" ht="12.75">
      <c r="A467" s="302" t="s">
        <v>1090</v>
      </c>
      <c r="B467" s="756">
        <v>0</v>
      </c>
      <c r="C467" s="492" t="s">
        <v>157</v>
      </c>
      <c r="D467" s="427" t="s">
        <v>171</v>
      </c>
      <c r="F467" s="290"/>
      <c r="G467" s="379"/>
      <c r="H467" s="163"/>
      <c r="J467" s="104"/>
    </row>
    <row r="468" spans="1:10" ht="12.75">
      <c r="A468" s="315" t="s">
        <v>1090</v>
      </c>
      <c r="B468" s="568">
        <v>30</v>
      </c>
      <c r="C468" s="439" t="s">
        <v>606</v>
      </c>
      <c r="D468" s="303" t="s">
        <v>940</v>
      </c>
      <c r="F468" s="290"/>
      <c r="G468" s="379"/>
      <c r="H468" s="163"/>
      <c r="J468" s="104"/>
    </row>
    <row r="469" spans="1:10" ht="12.75">
      <c r="A469" s="706" t="s">
        <v>1090</v>
      </c>
      <c r="B469" s="605">
        <v>0</v>
      </c>
      <c r="C469" s="703" t="s">
        <v>548</v>
      </c>
      <c r="D469" s="702" t="s">
        <v>941</v>
      </c>
      <c r="F469" s="290"/>
      <c r="G469" s="379"/>
      <c r="H469" s="163"/>
      <c r="J469" s="104"/>
    </row>
    <row r="470" spans="1:10" ht="12.75">
      <c r="A470" s="359" t="s">
        <v>1090</v>
      </c>
      <c r="B470" s="605">
        <v>0</v>
      </c>
      <c r="C470" s="490" t="s">
        <v>609</v>
      </c>
      <c r="D470" s="425" t="s">
        <v>291</v>
      </c>
      <c r="F470" s="290"/>
      <c r="G470" s="379"/>
      <c r="H470" s="163"/>
      <c r="J470" s="104"/>
    </row>
    <row r="471" spans="1:10" ht="12.75">
      <c r="A471" s="315" t="s">
        <v>1090</v>
      </c>
      <c r="B471" s="568">
        <v>0</v>
      </c>
      <c r="C471" s="487" t="s">
        <v>612</v>
      </c>
      <c r="D471" s="303" t="s">
        <v>953</v>
      </c>
      <c r="F471" s="290"/>
      <c r="G471" s="379"/>
      <c r="H471" s="163"/>
      <c r="J471" s="104"/>
    </row>
    <row r="472" spans="1:10" ht="12.75">
      <c r="A472" s="315" t="s">
        <v>1090</v>
      </c>
      <c r="B472" s="568">
        <v>200</v>
      </c>
      <c r="C472" s="487" t="s">
        <v>610</v>
      </c>
      <c r="D472" s="303" t="s">
        <v>978</v>
      </c>
      <c r="F472" s="290"/>
      <c r="G472" s="379"/>
      <c r="H472" s="163"/>
      <c r="J472" s="104"/>
    </row>
    <row r="473" spans="1:10" ht="12.75">
      <c r="A473" s="315" t="s">
        <v>1090</v>
      </c>
      <c r="B473" s="568">
        <v>60</v>
      </c>
      <c r="C473" s="487" t="s">
        <v>546</v>
      </c>
      <c r="D473" s="303" t="s">
        <v>997</v>
      </c>
      <c r="F473" s="290"/>
      <c r="G473" s="384"/>
      <c r="H473" s="163"/>
      <c r="I473" s="104"/>
      <c r="J473" s="104"/>
    </row>
    <row r="474" spans="1:10" ht="12.75">
      <c r="A474" s="315" t="s">
        <v>1090</v>
      </c>
      <c r="B474" s="568">
        <v>0</v>
      </c>
      <c r="C474" s="487" t="s">
        <v>608</v>
      </c>
      <c r="D474" s="425" t="s">
        <v>285</v>
      </c>
      <c r="F474" s="290"/>
      <c r="G474" s="379"/>
      <c r="H474" s="163"/>
      <c r="J474" s="104"/>
    </row>
    <row r="475" spans="1:10" ht="12.75">
      <c r="A475" s="315" t="s">
        <v>1090</v>
      </c>
      <c r="B475" s="568">
        <v>0</v>
      </c>
      <c r="C475" s="487" t="s">
        <v>954</v>
      </c>
      <c r="D475" s="303" t="s">
        <v>955</v>
      </c>
      <c r="F475" s="290"/>
      <c r="G475" s="379"/>
      <c r="H475" s="163"/>
      <c r="J475" s="104"/>
    </row>
    <row r="476" spans="1:10" ht="12.75">
      <c r="A476" s="315" t="s">
        <v>1090</v>
      </c>
      <c r="B476" s="568">
        <v>0</v>
      </c>
      <c r="C476" s="487" t="s">
        <v>875</v>
      </c>
      <c r="D476" s="303" t="s">
        <v>943</v>
      </c>
      <c r="E476" s="163"/>
      <c r="F476" s="290"/>
      <c r="G476" s="379"/>
      <c r="H476" s="163"/>
      <c r="J476" s="104"/>
    </row>
    <row r="477" spans="1:10" ht="12.75">
      <c r="A477" s="315" t="s">
        <v>1090</v>
      </c>
      <c r="B477" s="568">
        <v>150</v>
      </c>
      <c r="C477" s="487" t="s">
        <v>554</v>
      </c>
      <c r="D477" s="425" t="s">
        <v>293</v>
      </c>
      <c r="E477" s="163"/>
      <c r="F477" s="290"/>
      <c r="G477" s="379"/>
      <c r="H477" s="163"/>
      <c r="J477" s="104"/>
    </row>
    <row r="478" spans="1:10" ht="12.75">
      <c r="A478" s="315" t="s">
        <v>1090</v>
      </c>
      <c r="B478" s="469">
        <v>0</v>
      </c>
      <c r="C478" s="487" t="s">
        <v>926</v>
      </c>
      <c r="D478" s="303" t="s">
        <v>979</v>
      </c>
      <c r="E478" s="163"/>
      <c r="F478" s="290"/>
      <c r="G478" s="379"/>
      <c r="H478" s="163"/>
      <c r="J478" s="104"/>
    </row>
    <row r="479" spans="1:10" ht="12.75">
      <c r="A479" s="315" t="s">
        <v>1090</v>
      </c>
      <c r="B479" s="568">
        <v>100</v>
      </c>
      <c r="C479" s="487" t="s">
        <v>521</v>
      </c>
      <c r="D479" s="303" t="s">
        <v>522</v>
      </c>
      <c r="E479" s="163"/>
      <c r="F479" s="290"/>
      <c r="G479" s="379"/>
      <c r="H479" s="163"/>
      <c r="J479" s="104"/>
    </row>
    <row r="480" spans="1:10" ht="12.75">
      <c r="A480" s="315" t="s">
        <v>1090</v>
      </c>
      <c r="B480" s="568">
        <v>320</v>
      </c>
      <c r="C480" s="487" t="s">
        <v>556</v>
      </c>
      <c r="D480" s="303" t="s">
        <v>957</v>
      </c>
      <c r="E480" s="163"/>
      <c r="F480" s="290"/>
      <c r="G480" s="379"/>
      <c r="H480" s="163"/>
      <c r="J480" s="104"/>
    </row>
    <row r="481" spans="1:10" ht="12.75">
      <c r="A481" s="315" t="s">
        <v>1090</v>
      </c>
      <c r="B481" s="568">
        <v>10</v>
      </c>
      <c r="C481" s="487" t="s">
        <v>558</v>
      </c>
      <c r="D481" s="303" t="s">
        <v>944</v>
      </c>
      <c r="E481" s="163"/>
      <c r="F481" s="290"/>
      <c r="G481" s="379"/>
      <c r="H481" s="163"/>
      <c r="J481" s="104"/>
    </row>
    <row r="482" spans="1:10" ht="12.75">
      <c r="A482" s="315" t="s">
        <v>1090</v>
      </c>
      <c r="B482" s="568">
        <v>0</v>
      </c>
      <c r="C482" s="487" t="s">
        <v>958</v>
      </c>
      <c r="D482" s="303" t="s">
        <v>959</v>
      </c>
      <c r="E482" s="163"/>
      <c r="F482" s="290"/>
      <c r="G482" s="379"/>
      <c r="H482" s="163"/>
      <c r="J482" s="104"/>
    </row>
    <row r="483" spans="1:10" ht="12.75">
      <c r="A483" s="315" t="s">
        <v>1090</v>
      </c>
      <c r="B483" s="568">
        <v>0</v>
      </c>
      <c r="C483" s="487" t="s">
        <v>847</v>
      </c>
      <c r="D483" s="303" t="s">
        <v>848</v>
      </c>
      <c r="E483" s="163"/>
      <c r="F483" s="290"/>
      <c r="G483" s="379"/>
      <c r="H483" s="163"/>
      <c r="J483" s="104"/>
    </row>
    <row r="484" spans="1:10" ht="12.75">
      <c r="A484" s="315" t="s">
        <v>1090</v>
      </c>
      <c r="B484" s="568">
        <v>0</v>
      </c>
      <c r="C484" s="487" t="s">
        <v>980</v>
      </c>
      <c r="D484" s="303" t="s">
        <v>981</v>
      </c>
      <c r="E484" s="163"/>
      <c r="F484" s="290"/>
      <c r="G484" s="379"/>
      <c r="H484" s="163"/>
      <c r="J484" s="104"/>
    </row>
    <row r="485" spans="1:10" ht="12.75">
      <c r="A485" s="315" t="s">
        <v>1090</v>
      </c>
      <c r="B485" s="469">
        <v>0</v>
      </c>
      <c r="C485" s="487" t="s">
        <v>526</v>
      </c>
      <c r="D485" s="303" t="s">
        <v>527</v>
      </c>
      <c r="E485" s="163"/>
      <c r="F485" s="290"/>
      <c r="G485" s="379"/>
      <c r="H485" s="163"/>
      <c r="J485" s="104"/>
    </row>
    <row r="486" spans="1:10" ht="12.75">
      <c r="A486" s="315" t="s">
        <v>1090</v>
      </c>
      <c r="B486" s="469">
        <v>0</v>
      </c>
      <c r="C486" s="487" t="s">
        <v>516</v>
      </c>
      <c r="D486" s="427" t="s">
        <v>625</v>
      </c>
      <c r="E486" s="163"/>
      <c r="F486" s="290"/>
      <c r="G486" s="379"/>
      <c r="H486" s="163"/>
      <c r="J486" s="104"/>
    </row>
    <row r="487" spans="1:10" ht="12.75">
      <c r="A487" s="315" t="s">
        <v>1090</v>
      </c>
      <c r="B487" s="469">
        <v>0</v>
      </c>
      <c r="C487" s="487" t="s">
        <v>851</v>
      </c>
      <c r="D487" s="425" t="s">
        <v>167</v>
      </c>
      <c r="E487" s="163"/>
      <c r="F487" s="290"/>
      <c r="G487" s="379"/>
      <c r="H487" s="163"/>
      <c r="J487" s="104"/>
    </row>
    <row r="488" spans="1:10" ht="12.75">
      <c r="A488" s="315" t="s">
        <v>1090</v>
      </c>
      <c r="B488" s="568">
        <v>0</v>
      </c>
      <c r="C488" s="491" t="s">
        <v>852</v>
      </c>
      <c r="D488" s="425" t="s">
        <v>166</v>
      </c>
      <c r="E488" s="163"/>
      <c r="F488" s="290"/>
      <c r="G488" s="379"/>
      <c r="H488" s="163"/>
      <c r="J488" s="104"/>
    </row>
    <row r="489" spans="1:10" ht="12.75">
      <c r="A489" s="315" t="s">
        <v>1090</v>
      </c>
      <c r="B489" s="568">
        <v>60</v>
      </c>
      <c r="C489" s="487" t="s">
        <v>564</v>
      </c>
      <c r="D489" s="303" t="s">
        <v>947</v>
      </c>
      <c r="E489" s="163"/>
      <c r="F489" s="290">
        <f>SUM(B463:B489)</f>
        <v>955</v>
      </c>
      <c r="G489" s="379"/>
      <c r="H489" s="163"/>
      <c r="J489" s="104"/>
    </row>
    <row r="490" spans="1:10" ht="12.75">
      <c r="A490" s="315" t="s">
        <v>1092</v>
      </c>
      <c r="B490" s="568">
        <v>0</v>
      </c>
      <c r="C490" s="491" t="s">
        <v>1173</v>
      </c>
      <c r="D490" s="425" t="s">
        <v>55</v>
      </c>
      <c r="E490" s="163"/>
      <c r="F490" s="290"/>
      <c r="G490" s="379"/>
      <c r="H490" s="163"/>
      <c r="J490" s="104"/>
    </row>
    <row r="491" spans="1:10" ht="12.75">
      <c r="A491" s="302" t="s">
        <v>1092</v>
      </c>
      <c r="B491" s="756">
        <v>0</v>
      </c>
      <c r="C491" s="491" t="s">
        <v>157</v>
      </c>
      <c r="D491" s="425" t="s">
        <v>171</v>
      </c>
      <c r="F491" s="290"/>
      <c r="G491" s="379"/>
      <c r="H491" s="163"/>
      <c r="J491" s="104"/>
    </row>
    <row r="492" spans="1:10" ht="12.75">
      <c r="A492" s="446" t="s">
        <v>1092</v>
      </c>
      <c r="B492" s="568">
        <v>50</v>
      </c>
      <c r="C492" s="489" t="s">
        <v>548</v>
      </c>
      <c r="D492" s="447" t="s">
        <v>941</v>
      </c>
      <c r="F492" s="290"/>
      <c r="G492" s="379"/>
      <c r="H492" s="163"/>
      <c r="J492" s="104"/>
    </row>
    <row r="493" spans="1:10" ht="12.75">
      <c r="A493" s="359" t="s">
        <v>1092</v>
      </c>
      <c r="B493" s="605">
        <v>0</v>
      </c>
      <c r="C493" s="490" t="s">
        <v>609</v>
      </c>
      <c r="D493" s="425" t="s">
        <v>291</v>
      </c>
      <c r="F493" s="290"/>
      <c r="G493" s="379"/>
      <c r="H493" s="163"/>
      <c r="J493" s="104"/>
    </row>
    <row r="494" spans="1:10" ht="12.75">
      <c r="A494" s="315" t="s">
        <v>1092</v>
      </c>
      <c r="B494" s="568">
        <v>15</v>
      </c>
      <c r="C494" s="487" t="s">
        <v>550</v>
      </c>
      <c r="D494" s="303" t="s">
        <v>551</v>
      </c>
      <c r="F494" s="290"/>
      <c r="G494" s="379"/>
      <c r="H494" s="163"/>
      <c r="J494" s="104"/>
    </row>
    <row r="495" spans="1:10" ht="12.75">
      <c r="A495" s="315" t="s">
        <v>1092</v>
      </c>
      <c r="B495" s="568">
        <v>0</v>
      </c>
      <c r="C495" s="487" t="s">
        <v>875</v>
      </c>
      <c r="D495" s="303" t="s">
        <v>943</v>
      </c>
      <c r="F495" s="290"/>
      <c r="G495" s="379"/>
      <c r="H495" s="163"/>
      <c r="J495" s="104"/>
    </row>
    <row r="496" spans="1:10" ht="12.75">
      <c r="A496" s="315" t="s">
        <v>1092</v>
      </c>
      <c r="B496" s="568">
        <v>0</v>
      </c>
      <c r="C496" s="487" t="s">
        <v>554</v>
      </c>
      <c r="D496" s="425" t="s">
        <v>293</v>
      </c>
      <c r="F496" s="290"/>
      <c r="G496" s="379"/>
      <c r="H496" s="163"/>
      <c r="J496" s="104"/>
    </row>
    <row r="497" spans="1:10" ht="12.75">
      <c r="A497" s="315" t="s">
        <v>1092</v>
      </c>
      <c r="B497" s="568">
        <v>0</v>
      </c>
      <c r="C497" s="487" t="s">
        <v>558</v>
      </c>
      <c r="D497" s="303" t="s">
        <v>944</v>
      </c>
      <c r="F497" s="290"/>
      <c r="G497" s="379"/>
      <c r="H497" s="163"/>
      <c r="J497" s="104"/>
    </row>
    <row r="498" spans="1:10" ht="12.75">
      <c r="A498" s="423" t="s">
        <v>1092</v>
      </c>
      <c r="B498" s="568">
        <v>4</v>
      </c>
      <c r="C498" s="491" t="s">
        <v>564</v>
      </c>
      <c r="D498" s="425" t="s">
        <v>947</v>
      </c>
      <c r="F498" s="56">
        <f>SUM(B490:B498)</f>
        <v>69</v>
      </c>
      <c r="G498" s="379"/>
      <c r="H498" s="163"/>
      <c r="J498" s="104"/>
    </row>
    <row r="499" spans="1:10" ht="12.75">
      <c r="A499" s="315" t="s">
        <v>1093</v>
      </c>
      <c r="B499" s="568">
        <v>5</v>
      </c>
      <c r="C499" s="491" t="s">
        <v>1173</v>
      </c>
      <c r="D499" s="425" t="s">
        <v>55</v>
      </c>
      <c r="F499" s="290"/>
      <c r="G499" s="379"/>
      <c r="H499" s="163"/>
      <c r="J499" s="104"/>
    </row>
    <row r="500" spans="1:10" ht="12.75">
      <c r="A500" s="302" t="s">
        <v>1093</v>
      </c>
      <c r="B500" s="756">
        <v>0</v>
      </c>
      <c r="C500" s="492" t="s">
        <v>158</v>
      </c>
      <c r="D500" s="427" t="s">
        <v>172</v>
      </c>
      <c r="F500" s="290"/>
      <c r="G500" s="379"/>
      <c r="H500" s="163"/>
      <c r="J500" s="104"/>
    </row>
    <row r="501" spans="1:10" ht="12.75">
      <c r="A501" s="315" t="s">
        <v>1093</v>
      </c>
      <c r="B501" s="568">
        <v>0</v>
      </c>
      <c r="C501" s="487" t="s">
        <v>606</v>
      </c>
      <c r="D501" s="303" t="s">
        <v>940</v>
      </c>
      <c r="F501" s="290"/>
      <c r="G501" s="379"/>
      <c r="H501" s="163"/>
      <c r="J501" s="104"/>
    </row>
    <row r="502" spans="1:10" ht="12.75">
      <c r="A502" s="706" t="s">
        <v>1093</v>
      </c>
      <c r="B502" s="605">
        <f>45+1+2</f>
        <v>48</v>
      </c>
      <c r="C502" s="703" t="s">
        <v>548</v>
      </c>
      <c r="D502" s="702" t="s">
        <v>941</v>
      </c>
      <c r="F502" s="290"/>
      <c r="G502" s="379"/>
      <c r="H502" s="163"/>
      <c r="J502" s="104"/>
    </row>
    <row r="503" spans="1:10" ht="12.75">
      <c r="A503" s="359" t="s">
        <v>1093</v>
      </c>
      <c r="B503" s="605">
        <v>0</v>
      </c>
      <c r="C503" s="490" t="s">
        <v>608</v>
      </c>
      <c r="D503" s="425" t="s">
        <v>285</v>
      </c>
      <c r="F503" s="290"/>
      <c r="G503" s="379"/>
      <c r="H503" s="163"/>
      <c r="J503" s="104"/>
    </row>
    <row r="504" spans="1:10" ht="12.75">
      <c r="A504" s="315" t="s">
        <v>1093</v>
      </c>
      <c r="B504" s="568">
        <v>0</v>
      </c>
      <c r="C504" s="487" t="s">
        <v>609</v>
      </c>
      <c r="D504" s="425" t="s">
        <v>291</v>
      </c>
      <c r="F504" s="290"/>
      <c r="G504" s="379"/>
      <c r="H504" s="163"/>
      <c r="J504" s="104"/>
    </row>
    <row r="505" spans="1:10" ht="12.75">
      <c r="A505" s="315" t="s">
        <v>1093</v>
      </c>
      <c r="B505" s="568">
        <v>0</v>
      </c>
      <c r="C505" s="487" t="s">
        <v>550</v>
      </c>
      <c r="D505" s="303" t="s">
        <v>551</v>
      </c>
      <c r="F505" s="290"/>
      <c r="G505" s="379"/>
      <c r="H505" s="163"/>
      <c r="J505" s="104"/>
    </row>
    <row r="506" spans="1:10" ht="12.75">
      <c r="A506" s="315" t="s">
        <v>1093</v>
      </c>
      <c r="B506" s="469">
        <v>8</v>
      </c>
      <c r="C506" s="487" t="s">
        <v>936</v>
      </c>
      <c r="D506" s="364" t="s">
        <v>937</v>
      </c>
      <c r="F506" s="290"/>
      <c r="G506" s="379"/>
      <c r="H506" s="163"/>
      <c r="J506" s="104"/>
    </row>
    <row r="507" spans="1:10" ht="12.75">
      <c r="A507" s="315" t="s">
        <v>1093</v>
      </c>
      <c r="B507" s="568">
        <v>0</v>
      </c>
      <c r="C507" s="487" t="s">
        <v>875</v>
      </c>
      <c r="D507" s="303" t="s">
        <v>943</v>
      </c>
      <c r="F507" s="290"/>
      <c r="G507" s="379"/>
      <c r="H507" s="163"/>
      <c r="J507" s="104"/>
    </row>
    <row r="508" spans="1:10" ht="12.75">
      <c r="A508" s="315" t="s">
        <v>1093</v>
      </c>
      <c r="B508" s="568">
        <v>0</v>
      </c>
      <c r="C508" s="487" t="s">
        <v>554</v>
      </c>
      <c r="D508" s="425" t="s">
        <v>293</v>
      </c>
      <c r="F508" s="290"/>
      <c r="G508" s="379"/>
      <c r="H508" s="163"/>
      <c r="J508" s="104"/>
    </row>
    <row r="509" spans="1:10" ht="12.75">
      <c r="A509" s="315" t="s">
        <v>1093</v>
      </c>
      <c r="B509" s="568">
        <v>5</v>
      </c>
      <c r="C509" s="487" t="s">
        <v>558</v>
      </c>
      <c r="D509" s="303" t="s">
        <v>944</v>
      </c>
      <c r="F509" s="290"/>
      <c r="G509" s="379"/>
      <c r="H509" s="163"/>
      <c r="J509" s="104"/>
    </row>
    <row r="510" spans="1:10" ht="12.75">
      <c r="A510" s="315" t="s">
        <v>1093</v>
      </c>
      <c r="B510" s="568">
        <v>0</v>
      </c>
      <c r="C510" s="487" t="s">
        <v>958</v>
      </c>
      <c r="D510" s="303" t="s">
        <v>959</v>
      </c>
      <c r="F510" s="290"/>
      <c r="G510" s="384"/>
      <c r="H510" s="163"/>
      <c r="J510" s="104"/>
    </row>
    <row r="511" spans="1:10" ht="12.75">
      <c r="A511" s="315" t="s">
        <v>1093</v>
      </c>
      <c r="B511" s="568">
        <v>0</v>
      </c>
      <c r="C511" s="487" t="s">
        <v>847</v>
      </c>
      <c r="D511" s="303" t="s">
        <v>848</v>
      </c>
      <c r="F511" s="290"/>
      <c r="G511" s="379"/>
      <c r="H511" s="163"/>
      <c r="J511" s="104"/>
    </row>
    <row r="512" spans="1:10" ht="12.75">
      <c r="A512" s="315" t="s">
        <v>1093</v>
      </c>
      <c r="B512" s="568">
        <v>0</v>
      </c>
      <c r="C512" s="487" t="s">
        <v>560</v>
      </c>
      <c r="D512" s="303" t="s">
        <v>561</v>
      </c>
      <c r="F512" s="290"/>
      <c r="G512" s="379"/>
      <c r="H512" s="163"/>
      <c r="J512" s="104"/>
    </row>
    <row r="513" spans="1:10" ht="12.75">
      <c r="A513" s="315" t="s">
        <v>1093</v>
      </c>
      <c r="B513" s="469">
        <v>0</v>
      </c>
      <c r="C513" s="487" t="s">
        <v>526</v>
      </c>
      <c r="D513" s="303" t="s">
        <v>527</v>
      </c>
      <c r="F513" s="290"/>
      <c r="G513" s="379"/>
      <c r="H513" s="163"/>
      <c r="J513" s="104"/>
    </row>
    <row r="514" spans="1:10" ht="12.75">
      <c r="A514" s="315" t="s">
        <v>1093</v>
      </c>
      <c r="B514" s="469">
        <v>1</v>
      </c>
      <c r="C514" s="487" t="s">
        <v>516</v>
      </c>
      <c r="D514" s="427" t="s">
        <v>625</v>
      </c>
      <c r="F514" s="290"/>
      <c r="G514" s="379"/>
      <c r="H514" s="163"/>
      <c r="J514" s="104"/>
    </row>
    <row r="515" spans="1:10" ht="12.75">
      <c r="A515" s="315" t="s">
        <v>1093</v>
      </c>
      <c r="B515" s="469">
        <v>0</v>
      </c>
      <c r="C515" s="487" t="s">
        <v>851</v>
      </c>
      <c r="D515" s="425" t="s">
        <v>167</v>
      </c>
      <c r="F515" s="290"/>
      <c r="G515" s="379"/>
      <c r="H515" s="163"/>
      <c r="J515" s="104"/>
    </row>
    <row r="516" spans="1:10" ht="12.75">
      <c r="A516" s="426" t="s">
        <v>1093</v>
      </c>
      <c r="B516" s="568">
        <v>10</v>
      </c>
      <c r="C516" s="492" t="s">
        <v>564</v>
      </c>
      <c r="D516" s="427" t="s">
        <v>947</v>
      </c>
      <c r="F516" s="290">
        <f>SUM(B499:B516)</f>
        <v>77</v>
      </c>
      <c r="G516" s="379"/>
      <c r="H516" s="163"/>
      <c r="J516" s="104"/>
    </row>
    <row r="517" spans="1:10" ht="12.75">
      <c r="A517" s="302" t="s">
        <v>1094</v>
      </c>
      <c r="B517" s="472">
        <v>0</v>
      </c>
      <c r="C517" s="488" t="s">
        <v>864</v>
      </c>
      <c r="D517" s="299" t="s">
        <v>1095</v>
      </c>
      <c r="F517" s="290"/>
      <c r="G517" s="379"/>
      <c r="H517" s="163"/>
      <c r="J517" s="104"/>
    </row>
    <row r="518" spans="1:10" ht="12.75">
      <c r="A518" s="453" t="s">
        <v>1094</v>
      </c>
      <c r="B518" s="756">
        <f>65+7+3</f>
        <v>75</v>
      </c>
      <c r="C518" s="698" t="s">
        <v>548</v>
      </c>
      <c r="D518" s="455" t="s">
        <v>941</v>
      </c>
      <c r="F518" s="290"/>
      <c r="G518" s="379"/>
      <c r="H518" s="163"/>
      <c r="J518" s="104"/>
    </row>
    <row r="519" spans="1:10" ht="12.75">
      <c r="A519" s="315" t="s">
        <v>1094</v>
      </c>
      <c r="B519" s="568">
        <v>7</v>
      </c>
      <c r="C519" s="487" t="s">
        <v>606</v>
      </c>
      <c r="D519" s="303" t="s">
        <v>940</v>
      </c>
      <c r="F519" s="290"/>
      <c r="G519" s="379"/>
      <c r="H519" s="163"/>
      <c r="J519" s="104"/>
    </row>
    <row r="520" spans="1:10" ht="12.75">
      <c r="A520" s="359" t="s">
        <v>1094</v>
      </c>
      <c r="B520" s="605">
        <v>0</v>
      </c>
      <c r="C520" s="704" t="s">
        <v>1173</v>
      </c>
      <c r="D520" s="700" t="s">
        <v>55</v>
      </c>
      <c r="F520" s="290"/>
      <c r="G520" s="379"/>
      <c r="H520" s="163"/>
      <c r="J520" s="104"/>
    </row>
    <row r="521" spans="1:10" ht="12.75">
      <c r="A521" s="315" t="s">
        <v>1094</v>
      </c>
      <c r="B521" s="568">
        <v>15</v>
      </c>
      <c r="C521" s="491" t="s">
        <v>159</v>
      </c>
      <c r="D521" s="425" t="s">
        <v>170</v>
      </c>
      <c r="F521" s="290"/>
      <c r="G521" s="379"/>
      <c r="H521" s="163"/>
      <c r="J521" s="104"/>
    </row>
    <row r="522" spans="1:10" ht="12.75">
      <c r="A522" s="315" t="s">
        <v>1094</v>
      </c>
      <c r="B522" s="568">
        <v>1</v>
      </c>
      <c r="C522" s="491" t="s">
        <v>157</v>
      </c>
      <c r="D522" s="425" t="s">
        <v>171</v>
      </c>
      <c r="F522" s="290"/>
      <c r="G522" s="379"/>
      <c r="H522" s="163"/>
      <c r="J522" s="104"/>
    </row>
    <row r="523" spans="1:10" ht="12.75">
      <c r="A523" s="315" t="s">
        <v>1094</v>
      </c>
      <c r="B523" s="568">
        <v>7</v>
      </c>
      <c r="C523" s="491" t="s">
        <v>158</v>
      </c>
      <c r="D523" s="425" t="s">
        <v>172</v>
      </c>
      <c r="F523" s="290"/>
      <c r="G523" s="379"/>
      <c r="H523" s="163"/>
      <c r="J523" s="104"/>
    </row>
    <row r="524" spans="1:10" ht="12.75">
      <c r="A524" s="315" t="s">
        <v>1094</v>
      </c>
      <c r="B524" s="568">
        <v>0</v>
      </c>
      <c r="C524" s="491" t="s">
        <v>476</v>
      </c>
      <c r="D524" s="425" t="s">
        <v>484</v>
      </c>
      <c r="F524" s="290"/>
      <c r="G524" s="379"/>
      <c r="H524" s="163"/>
      <c r="J524" s="104"/>
    </row>
    <row r="525" spans="1:10" ht="12.75">
      <c r="A525" s="315" t="s">
        <v>1094</v>
      </c>
      <c r="B525" s="469">
        <v>0</v>
      </c>
      <c r="C525" s="487" t="s">
        <v>995</v>
      </c>
      <c r="D525" s="303" t="s">
        <v>996</v>
      </c>
      <c r="F525" s="290"/>
      <c r="G525" s="379"/>
      <c r="H525" s="163"/>
      <c r="J525" s="104"/>
    </row>
    <row r="526" spans="1:10" ht="12.75">
      <c r="A526" s="315" t="s">
        <v>1094</v>
      </c>
      <c r="B526" s="568">
        <v>0</v>
      </c>
      <c r="C526" s="487" t="s">
        <v>608</v>
      </c>
      <c r="D526" s="425" t="s">
        <v>285</v>
      </c>
      <c r="F526" s="290"/>
      <c r="G526" s="379"/>
      <c r="H526" s="163"/>
      <c r="J526" s="104"/>
    </row>
    <row r="527" spans="1:10" ht="12.75">
      <c r="A527" s="315" t="s">
        <v>1094</v>
      </c>
      <c r="B527" s="568">
        <v>0</v>
      </c>
      <c r="C527" s="487" t="s">
        <v>609</v>
      </c>
      <c r="D527" s="425" t="s">
        <v>291</v>
      </c>
      <c r="F527" s="290"/>
      <c r="G527" s="379"/>
      <c r="H527" s="163"/>
      <c r="J527" s="104"/>
    </row>
    <row r="528" spans="1:10" ht="12.75">
      <c r="A528" s="315" t="s">
        <v>1094</v>
      </c>
      <c r="B528" s="568">
        <v>0</v>
      </c>
      <c r="C528" s="487" t="s">
        <v>550</v>
      </c>
      <c r="D528" s="303" t="s">
        <v>551</v>
      </c>
      <c r="F528" s="290"/>
      <c r="G528" s="379"/>
      <c r="H528" s="163"/>
      <c r="J528" s="104"/>
    </row>
    <row r="529" spans="1:10" ht="12.75">
      <c r="A529" s="315" t="s">
        <v>1094</v>
      </c>
      <c r="B529" s="568">
        <v>0</v>
      </c>
      <c r="C529" s="487" t="s">
        <v>884</v>
      </c>
      <c r="D529" s="303" t="s">
        <v>1096</v>
      </c>
      <c r="F529" s="290"/>
      <c r="G529" s="379"/>
      <c r="H529" s="163"/>
      <c r="J529" s="104"/>
    </row>
    <row r="530" spans="1:10" ht="12.75">
      <c r="A530" s="315" t="s">
        <v>1094</v>
      </c>
      <c r="B530" s="469">
        <v>0</v>
      </c>
      <c r="C530" s="487" t="s">
        <v>954</v>
      </c>
      <c r="D530" s="303" t="s">
        <v>955</v>
      </c>
      <c r="F530" s="290"/>
      <c r="G530" s="379"/>
      <c r="H530" s="163"/>
      <c r="J530" s="104"/>
    </row>
    <row r="531" spans="1:10" ht="12.75">
      <c r="A531" s="315" t="s">
        <v>1094</v>
      </c>
      <c r="B531" s="469">
        <v>0</v>
      </c>
      <c r="C531" s="491" t="s">
        <v>936</v>
      </c>
      <c r="D531" s="425" t="s">
        <v>937</v>
      </c>
      <c r="F531" s="290"/>
      <c r="G531" s="379"/>
      <c r="H531" s="163"/>
      <c r="J531" s="104"/>
    </row>
    <row r="532" spans="1:10" ht="12.75">
      <c r="A532" s="315" t="s">
        <v>1094</v>
      </c>
      <c r="B532" s="568">
        <v>1</v>
      </c>
      <c r="C532" s="487" t="s">
        <v>558</v>
      </c>
      <c r="D532" s="303" t="s">
        <v>944</v>
      </c>
      <c r="F532" s="290"/>
      <c r="G532" s="379"/>
      <c r="H532" s="163"/>
      <c r="J532" s="104"/>
    </row>
    <row r="533" spans="1:10" ht="12.75">
      <c r="A533" s="315" t="s">
        <v>1094</v>
      </c>
      <c r="B533" s="469">
        <v>0</v>
      </c>
      <c r="C533" s="487" t="s">
        <v>516</v>
      </c>
      <c r="D533" s="427" t="s">
        <v>625</v>
      </c>
      <c r="F533" s="290"/>
      <c r="G533" s="379"/>
      <c r="H533" s="163"/>
      <c r="J533" s="104"/>
    </row>
    <row r="534" spans="1:10" ht="12.75">
      <c r="A534" s="315" t="s">
        <v>1094</v>
      </c>
      <c r="B534" s="469">
        <v>0</v>
      </c>
      <c r="C534" s="487" t="s">
        <v>851</v>
      </c>
      <c r="D534" s="425" t="s">
        <v>167</v>
      </c>
      <c r="F534" s="290"/>
      <c r="G534" s="379"/>
      <c r="H534" s="163"/>
      <c r="J534" s="104"/>
    </row>
    <row r="535" spans="1:10" ht="12.75">
      <c r="A535" s="302" t="s">
        <v>1094</v>
      </c>
      <c r="B535" s="469">
        <v>0</v>
      </c>
      <c r="C535" s="488" t="s">
        <v>852</v>
      </c>
      <c r="D535" s="425" t="s">
        <v>166</v>
      </c>
      <c r="F535" s="290"/>
      <c r="G535" s="379"/>
      <c r="H535" s="163"/>
      <c r="J535" s="104"/>
    </row>
    <row r="536" spans="1:10" ht="12.75">
      <c r="A536" s="302" t="s">
        <v>1094</v>
      </c>
      <c r="B536" s="568">
        <v>2</v>
      </c>
      <c r="C536" s="488" t="s">
        <v>564</v>
      </c>
      <c r="D536" s="299" t="s">
        <v>947</v>
      </c>
      <c r="F536" s="290"/>
      <c r="G536" s="379"/>
      <c r="H536" s="163"/>
      <c r="J536" s="104"/>
    </row>
    <row r="537" spans="1:10" ht="12.75">
      <c r="A537" s="426" t="s">
        <v>1094</v>
      </c>
      <c r="B537" s="756">
        <v>0</v>
      </c>
      <c r="C537" s="492" t="s">
        <v>884</v>
      </c>
      <c r="D537" s="427" t="s">
        <v>1096</v>
      </c>
      <c r="F537" s="290">
        <f>SUM(B517:B537)</f>
        <v>108</v>
      </c>
      <c r="G537" s="379"/>
      <c r="H537" s="163"/>
      <c r="J537" s="104"/>
    </row>
    <row r="538" spans="1:10" ht="12.75">
      <c r="A538" s="446" t="s">
        <v>1097</v>
      </c>
      <c r="B538" s="568">
        <v>0</v>
      </c>
      <c r="C538" s="489" t="s">
        <v>548</v>
      </c>
      <c r="D538" s="447" t="s">
        <v>941</v>
      </c>
      <c r="F538" s="290"/>
      <c r="G538" s="379"/>
      <c r="H538" s="163"/>
      <c r="J538" s="104"/>
    </row>
    <row r="539" spans="1:10" ht="13.5" thickBot="1">
      <c r="A539" s="329" t="s">
        <v>1097</v>
      </c>
      <c r="B539" s="884">
        <v>0</v>
      </c>
      <c r="C539" s="532" t="s">
        <v>558</v>
      </c>
      <c r="D539" s="346" t="s">
        <v>944</v>
      </c>
      <c r="F539" s="290">
        <f>SUM(B538:B539)</f>
        <v>0</v>
      </c>
      <c r="G539" s="379"/>
      <c r="H539" s="163"/>
      <c r="J539" s="104"/>
    </row>
    <row r="540" spans="1:10" ht="13.5" thickBot="1">
      <c r="A540" s="377" t="s">
        <v>358</v>
      </c>
      <c r="B540" s="484">
        <f>SUM(B463:B539)</f>
        <v>1209</v>
      </c>
      <c r="C540" s="493"/>
      <c r="D540" s="321"/>
      <c r="F540" s="290"/>
      <c r="G540" s="308"/>
      <c r="H540" s="163"/>
      <c r="J540" s="104"/>
    </row>
    <row r="541" spans="1:10" ht="10.5" customHeight="1">
      <c r="A541" s="352"/>
      <c r="B541" s="378"/>
      <c r="C541" s="308"/>
      <c r="D541" s="352"/>
      <c r="J541" s="104"/>
    </row>
    <row r="542" spans="1:10" ht="19.5" thickBot="1">
      <c r="A542" s="307" t="s">
        <v>1098</v>
      </c>
      <c r="B542" s="238"/>
      <c r="C542" s="308"/>
      <c r="J542" s="104"/>
    </row>
    <row r="543" spans="1:10" ht="12.75">
      <c r="A543" s="292" t="s">
        <v>500</v>
      </c>
      <c r="B543" s="1029" t="s">
        <v>1219</v>
      </c>
      <c r="C543" s="309" t="s">
        <v>502</v>
      </c>
      <c r="D543" s="310" t="s">
        <v>503</v>
      </c>
      <c r="J543" s="104"/>
    </row>
    <row r="544" spans="1:10" ht="13.5" thickBot="1">
      <c r="A544" s="390"/>
      <c r="B544" s="296" t="s">
        <v>695</v>
      </c>
      <c r="C544" s="311" t="s">
        <v>504</v>
      </c>
      <c r="D544" s="312"/>
      <c r="J544" s="104"/>
    </row>
    <row r="545" spans="1:10" ht="12.75">
      <c r="A545" s="324" t="s">
        <v>1099</v>
      </c>
      <c r="B545" s="685">
        <v>0</v>
      </c>
      <c r="C545" s="325" t="s">
        <v>585</v>
      </c>
      <c r="D545" s="326" t="s">
        <v>1100</v>
      </c>
      <c r="J545" s="104"/>
    </row>
    <row r="546" spans="1:10" ht="12.75">
      <c r="A546" s="446" t="s">
        <v>1101</v>
      </c>
      <c r="B546" s="568">
        <v>0</v>
      </c>
      <c r="C546" s="692" t="s">
        <v>548</v>
      </c>
      <c r="D546" s="447" t="s">
        <v>941</v>
      </c>
      <c r="J546" s="104"/>
    </row>
    <row r="547" spans="1:10" ht="12.75">
      <c r="A547" s="446" t="s">
        <v>1101</v>
      </c>
      <c r="B547" s="605">
        <v>1</v>
      </c>
      <c r="C547" s="759" t="s">
        <v>558</v>
      </c>
      <c r="D547" s="753" t="s">
        <v>944</v>
      </c>
      <c r="J547" s="104"/>
    </row>
    <row r="548" spans="1:10" ht="12.75">
      <c r="A548" s="391" t="s">
        <v>1102</v>
      </c>
      <c r="B548" s="605">
        <v>0</v>
      </c>
      <c r="C548" s="445" t="s">
        <v>554</v>
      </c>
      <c r="D548" s="425" t="s">
        <v>293</v>
      </c>
      <c r="J548" s="104"/>
    </row>
    <row r="549" spans="1:10" ht="12.75">
      <c r="A549" s="315" t="s">
        <v>1103</v>
      </c>
      <c r="B549" s="605">
        <v>30</v>
      </c>
      <c r="C549" s="527" t="s">
        <v>159</v>
      </c>
      <c r="D549" s="425" t="s">
        <v>170</v>
      </c>
      <c r="J549" s="104"/>
    </row>
    <row r="550" spans="1:10" ht="12.75">
      <c r="A550" s="315" t="s">
        <v>1103</v>
      </c>
      <c r="B550" s="568">
        <v>0</v>
      </c>
      <c r="C550" s="527" t="s">
        <v>1173</v>
      </c>
      <c r="D550" s="425" t="s">
        <v>55</v>
      </c>
      <c r="J550" s="104"/>
    </row>
    <row r="551" spans="1:10" ht="12.75">
      <c r="A551" s="302" t="s">
        <v>1103</v>
      </c>
      <c r="B551" s="756">
        <v>11</v>
      </c>
      <c r="C551" s="671" t="s">
        <v>158</v>
      </c>
      <c r="D551" s="427" t="s">
        <v>172</v>
      </c>
      <c r="J551" s="104"/>
    </row>
    <row r="552" spans="1:10" ht="12.75">
      <c r="A552" s="315" t="s">
        <v>1103</v>
      </c>
      <c r="B552" s="568">
        <v>0</v>
      </c>
      <c r="C552" s="434" t="s">
        <v>606</v>
      </c>
      <c r="D552" s="303" t="s">
        <v>940</v>
      </c>
      <c r="J552" s="104"/>
    </row>
    <row r="553" spans="1:10" ht="12.75">
      <c r="A553" s="706" t="s">
        <v>1103</v>
      </c>
      <c r="B553" s="605">
        <v>25</v>
      </c>
      <c r="C553" s="705" t="s">
        <v>548</v>
      </c>
      <c r="D553" s="702" t="s">
        <v>941</v>
      </c>
      <c r="J553" s="104"/>
    </row>
    <row r="554" spans="1:10" ht="12.75">
      <c r="A554" s="359" t="s">
        <v>1103</v>
      </c>
      <c r="B554" s="605">
        <v>0</v>
      </c>
      <c r="C554" s="445" t="s">
        <v>608</v>
      </c>
      <c r="D554" s="425" t="s">
        <v>285</v>
      </c>
      <c r="J554" s="104"/>
    </row>
    <row r="555" spans="1:10" ht="12.75">
      <c r="A555" s="315" t="s">
        <v>1103</v>
      </c>
      <c r="B555" s="568">
        <v>0</v>
      </c>
      <c r="C555" s="435" t="s">
        <v>609</v>
      </c>
      <c r="D555" s="425" t="s">
        <v>291</v>
      </c>
      <c r="J555" s="104"/>
    </row>
    <row r="556" spans="1:10" ht="12.75">
      <c r="A556" s="315" t="s">
        <v>1103</v>
      </c>
      <c r="B556" s="568">
        <v>10</v>
      </c>
      <c r="C556" s="434" t="s">
        <v>884</v>
      </c>
      <c r="D556" s="303" t="s">
        <v>948</v>
      </c>
      <c r="J556" s="104"/>
    </row>
    <row r="557" spans="1:10" ht="12.75">
      <c r="A557" s="315" t="s">
        <v>1103</v>
      </c>
      <c r="B557" s="568">
        <v>0</v>
      </c>
      <c r="C557" s="434" t="s">
        <v>554</v>
      </c>
      <c r="D557" s="425" t="s">
        <v>293</v>
      </c>
      <c r="J557" s="104"/>
    </row>
    <row r="558" spans="1:10" ht="12.75">
      <c r="A558" s="315" t="s">
        <v>1103</v>
      </c>
      <c r="B558" s="1039">
        <f>0</f>
        <v>0</v>
      </c>
      <c r="C558" s="316" t="s">
        <v>558</v>
      </c>
      <c r="D558" s="303" t="s">
        <v>944</v>
      </c>
      <c r="J558" s="104"/>
    </row>
    <row r="559" spans="1:10" ht="12.75">
      <c r="A559" s="315" t="s">
        <v>1103</v>
      </c>
      <c r="B559" s="469">
        <v>0</v>
      </c>
      <c r="C559" s="436" t="s">
        <v>516</v>
      </c>
      <c r="D559" s="427" t="s">
        <v>625</v>
      </c>
      <c r="J559" s="104"/>
    </row>
    <row r="560" spans="1:10" ht="12.75">
      <c r="A560" s="302" t="s">
        <v>1103</v>
      </c>
      <c r="B560" s="469">
        <v>0</v>
      </c>
      <c r="C560" s="434" t="s">
        <v>851</v>
      </c>
      <c r="D560" s="425" t="s">
        <v>167</v>
      </c>
      <c r="J560" s="104"/>
    </row>
    <row r="561" spans="1:10" ht="12.75">
      <c r="A561" s="302" t="s">
        <v>1103</v>
      </c>
      <c r="B561" s="469">
        <v>0</v>
      </c>
      <c r="C561" s="436" t="s">
        <v>853</v>
      </c>
      <c r="D561" s="739" t="s">
        <v>298</v>
      </c>
      <c r="J561" s="104"/>
    </row>
    <row r="562" spans="1:10" ht="13.5" thickBot="1">
      <c r="A562" s="319" t="s">
        <v>1103</v>
      </c>
      <c r="B562" s="569">
        <v>0</v>
      </c>
      <c r="C562" s="437" t="s">
        <v>852</v>
      </c>
      <c r="D562" s="425" t="s">
        <v>166</v>
      </c>
      <c r="F562" s="104">
        <f>SUM(B545:B562)</f>
        <v>77</v>
      </c>
      <c r="J562" s="104"/>
    </row>
    <row r="563" spans="1:10" ht="13.5" thickBot="1">
      <c r="A563" s="377" t="s">
        <v>358</v>
      </c>
      <c r="B563" s="485">
        <f>SUM(B545:B562)</f>
        <v>77</v>
      </c>
      <c r="C563" s="320"/>
      <c r="D563" s="321"/>
      <c r="J563" s="104"/>
    </row>
    <row r="564" spans="1:10" ht="7.5" customHeight="1">
      <c r="A564" s="389"/>
      <c r="B564" s="392"/>
      <c r="C564" s="308"/>
      <c r="D564" s="389"/>
      <c r="J564" s="104"/>
    </row>
    <row r="565" spans="1:10" ht="19.5" thickBot="1">
      <c r="A565" s="307" t="s">
        <v>1104</v>
      </c>
      <c r="B565" s="238"/>
      <c r="C565" s="308"/>
      <c r="J565" s="104"/>
    </row>
    <row r="566" spans="1:10" ht="12.75">
      <c r="A566" s="292" t="s">
        <v>500</v>
      </c>
      <c r="B566" s="1029" t="s">
        <v>1219</v>
      </c>
      <c r="C566" s="309" t="s">
        <v>502</v>
      </c>
      <c r="D566" s="310" t="s">
        <v>503</v>
      </c>
      <c r="J566" s="104"/>
    </row>
    <row r="567" spans="1:10" ht="13.5" thickBot="1">
      <c r="A567" s="295"/>
      <c r="B567" s="296" t="s">
        <v>695</v>
      </c>
      <c r="C567" s="311" t="s">
        <v>504</v>
      </c>
      <c r="D567" s="312"/>
      <c r="J567" s="104"/>
    </row>
    <row r="568" spans="1:10" ht="12.75">
      <c r="A568" s="313" t="s">
        <v>1105</v>
      </c>
      <c r="B568" s="567">
        <v>0</v>
      </c>
      <c r="C568" s="527" t="s">
        <v>157</v>
      </c>
      <c r="D568" s="425" t="s">
        <v>171</v>
      </c>
      <c r="J568" s="104"/>
    </row>
    <row r="569" spans="1:10" ht="12.75">
      <c r="A569" s="302" t="s">
        <v>1105</v>
      </c>
      <c r="B569" s="756">
        <v>0</v>
      </c>
      <c r="C569" s="671" t="s">
        <v>158</v>
      </c>
      <c r="D569" s="427" t="s">
        <v>172</v>
      </c>
      <c r="J569" s="104"/>
    </row>
    <row r="570" spans="1:10" ht="12.75">
      <c r="A570" s="315" t="s">
        <v>1105</v>
      </c>
      <c r="B570" s="1039">
        <f>15+40</f>
        <v>55</v>
      </c>
      <c r="C570" s="434" t="s">
        <v>606</v>
      </c>
      <c r="D570" s="303" t="s">
        <v>940</v>
      </c>
      <c r="J570" s="104"/>
    </row>
    <row r="571" spans="1:10" ht="12.75">
      <c r="A571" s="706" t="s">
        <v>1105</v>
      </c>
      <c r="B571" s="605">
        <f>0+100</f>
        <v>100</v>
      </c>
      <c r="C571" s="705" t="s">
        <v>548</v>
      </c>
      <c r="D571" s="702" t="s">
        <v>941</v>
      </c>
      <c r="J571" s="104"/>
    </row>
    <row r="572" spans="1:10" ht="12.75">
      <c r="A572" s="359" t="s">
        <v>1105</v>
      </c>
      <c r="B572" s="605">
        <v>0</v>
      </c>
      <c r="C572" s="445" t="s">
        <v>608</v>
      </c>
      <c r="D572" s="425" t="s">
        <v>285</v>
      </c>
      <c r="J572" s="104"/>
    </row>
    <row r="573" spans="1:10" ht="12.75">
      <c r="A573" s="315" t="s">
        <v>1105</v>
      </c>
      <c r="B573" s="568">
        <v>823</v>
      </c>
      <c r="C573" s="434" t="s">
        <v>609</v>
      </c>
      <c r="D573" s="425" t="s">
        <v>291</v>
      </c>
      <c r="J573" s="104"/>
    </row>
    <row r="574" spans="1:10" ht="12.75">
      <c r="A574" s="315" t="s">
        <v>1105</v>
      </c>
      <c r="B574" s="469">
        <v>0</v>
      </c>
      <c r="C574" s="434" t="s">
        <v>973</v>
      </c>
      <c r="D574" s="303" t="s">
        <v>974</v>
      </c>
      <c r="J574" s="104"/>
    </row>
    <row r="575" spans="1:10" ht="12.75">
      <c r="A575" s="315" t="s">
        <v>1105</v>
      </c>
      <c r="B575" s="1038">
        <f>450+250</f>
        <v>700</v>
      </c>
      <c r="C575" s="434" t="s">
        <v>851</v>
      </c>
      <c r="D575" s="425" t="s">
        <v>167</v>
      </c>
      <c r="J575" s="104"/>
    </row>
    <row r="576" spans="1:10" ht="12.75">
      <c r="A576" s="423" t="s">
        <v>1105</v>
      </c>
      <c r="B576" s="469">
        <v>0</v>
      </c>
      <c r="C576" s="435" t="s">
        <v>215</v>
      </c>
      <c r="D576" s="427" t="s">
        <v>1073</v>
      </c>
      <c r="J576" s="104"/>
    </row>
    <row r="577" spans="1:10" ht="12.75">
      <c r="A577" s="315" t="s">
        <v>1105</v>
      </c>
      <c r="B577" s="469">
        <v>0</v>
      </c>
      <c r="C577" s="434" t="s">
        <v>516</v>
      </c>
      <c r="D577" s="427" t="s">
        <v>625</v>
      </c>
      <c r="F577" s="104">
        <f>SUM(B568:B577)</f>
        <v>1678</v>
      </c>
      <c r="J577" s="104"/>
    </row>
    <row r="578" spans="1:10" ht="12.75">
      <c r="A578" s="315" t="s">
        <v>1106</v>
      </c>
      <c r="B578" s="568">
        <v>0</v>
      </c>
      <c r="C578" s="434" t="s">
        <v>608</v>
      </c>
      <c r="D578" s="425" t="s">
        <v>285</v>
      </c>
      <c r="J578" s="104"/>
    </row>
    <row r="579" spans="1:10" ht="13.5" thickBot="1">
      <c r="A579" s="319" t="s">
        <v>1107</v>
      </c>
      <c r="B579" s="597">
        <v>0</v>
      </c>
      <c r="C579" s="436" t="s">
        <v>609</v>
      </c>
      <c r="D579" s="425" t="s">
        <v>291</v>
      </c>
      <c r="H579" s="104"/>
      <c r="J579" s="104"/>
    </row>
    <row r="580" spans="1:10" ht="13.5" thickBot="1">
      <c r="A580" s="377" t="s">
        <v>358</v>
      </c>
      <c r="B580" s="570">
        <f>SUM(B568:B579)</f>
        <v>1678</v>
      </c>
      <c r="C580" s="457"/>
      <c r="D580" s="321"/>
      <c r="J580" s="104"/>
    </row>
    <row r="581" spans="1:10" ht="8.25" customHeight="1">
      <c r="A581" s="352"/>
      <c r="B581" s="378"/>
      <c r="C581" s="308"/>
      <c r="D581" s="352"/>
      <c r="E581" s="163"/>
      <c r="F581" s="163"/>
      <c r="G581" s="163"/>
      <c r="H581" s="163"/>
      <c r="I581" s="163"/>
      <c r="J581" s="104"/>
    </row>
    <row r="582" spans="1:10" ht="19.5" thickBot="1">
      <c r="A582" s="307" t="s">
        <v>1108</v>
      </c>
      <c r="B582" s="238"/>
      <c r="C582" s="308"/>
      <c r="J582" s="104"/>
    </row>
    <row r="583" spans="1:10" ht="12.75">
      <c r="A583" s="292" t="s">
        <v>500</v>
      </c>
      <c r="B583" s="1029" t="s">
        <v>1219</v>
      </c>
      <c r="C583" s="309" t="s">
        <v>502</v>
      </c>
      <c r="D583" s="310" t="s">
        <v>503</v>
      </c>
      <c r="J583" s="104"/>
    </row>
    <row r="584" spans="1:10" ht="13.5" thickBot="1">
      <c r="A584" s="295"/>
      <c r="B584" s="296" t="s">
        <v>695</v>
      </c>
      <c r="C584" s="442" t="s">
        <v>504</v>
      </c>
      <c r="D584" s="312"/>
      <c r="J584" s="104"/>
    </row>
    <row r="585" spans="1:10" ht="12.75">
      <c r="A585" s="313" t="s">
        <v>1109</v>
      </c>
      <c r="B585" s="594">
        <v>0</v>
      </c>
      <c r="C585" s="434" t="s">
        <v>554</v>
      </c>
      <c r="D585" s="425" t="s">
        <v>293</v>
      </c>
      <c r="J585" s="104"/>
    </row>
    <row r="586" spans="1:10" ht="12.75">
      <c r="A586" s="359" t="s">
        <v>1109</v>
      </c>
      <c r="B586" s="885">
        <v>0</v>
      </c>
      <c r="C586" s="316" t="s">
        <v>558</v>
      </c>
      <c r="D586" s="303" t="s">
        <v>944</v>
      </c>
      <c r="F586" s="104">
        <f>SUM(B585:B586)</f>
        <v>0</v>
      </c>
      <c r="J586" s="104"/>
    </row>
    <row r="587" spans="1:10" ht="12.75">
      <c r="A587" s="446" t="s">
        <v>1110</v>
      </c>
      <c r="B587" s="882">
        <v>0</v>
      </c>
      <c r="C587" s="692" t="s">
        <v>548</v>
      </c>
      <c r="D587" s="447" t="s">
        <v>941</v>
      </c>
      <c r="F587" s="1">
        <f>SUM(B587)</f>
        <v>0</v>
      </c>
      <c r="J587" s="104"/>
    </row>
    <row r="588" spans="1:10" ht="13.5" thickBot="1">
      <c r="A588" s="295" t="s">
        <v>358</v>
      </c>
      <c r="B588" s="601">
        <f>SUM(B585:B587)</f>
        <v>0</v>
      </c>
      <c r="C588" s="493"/>
      <c r="D588" s="312"/>
      <c r="J588" s="104"/>
    </row>
    <row r="589" spans="1:10" ht="6.75" customHeight="1">
      <c r="A589" s="393"/>
      <c r="B589" s="394"/>
      <c r="C589" s="308"/>
      <c r="D589" s="355"/>
      <c r="J589" s="104"/>
    </row>
    <row r="590" spans="1:10" ht="19.5" thickBot="1">
      <c r="A590" s="307" t="s">
        <v>1111</v>
      </c>
      <c r="B590" s="238"/>
      <c r="C590" s="308"/>
      <c r="J590" s="104"/>
    </row>
    <row r="591" spans="1:10" ht="12.75">
      <c r="A591" s="292" t="s">
        <v>500</v>
      </c>
      <c r="B591" s="1029" t="s">
        <v>1219</v>
      </c>
      <c r="C591" s="395" t="s">
        <v>502</v>
      </c>
      <c r="D591" s="310" t="s">
        <v>503</v>
      </c>
      <c r="J591" s="104"/>
    </row>
    <row r="592" spans="1:10" ht="13.5" thickBot="1">
      <c r="A592" s="295"/>
      <c r="B592" s="296" t="s">
        <v>695</v>
      </c>
      <c r="C592" s="396" t="s">
        <v>504</v>
      </c>
      <c r="D592" s="312"/>
      <c r="E592" s="279"/>
      <c r="J592" s="104"/>
    </row>
    <row r="593" spans="1:10" ht="12.75">
      <c r="A593" s="397" t="s">
        <v>1112</v>
      </c>
      <c r="B593" s="602">
        <f>3785+193</f>
        <v>3978</v>
      </c>
      <c r="C593" s="452" t="s">
        <v>531</v>
      </c>
      <c r="D593" s="353" t="s">
        <v>532</v>
      </c>
      <c r="E593" s="279"/>
      <c r="F593" s="382"/>
      <c r="G593" s="308"/>
      <c r="H593" s="163"/>
      <c r="J593" s="104"/>
    </row>
    <row r="594" spans="1:10" ht="12.75">
      <c r="A594" s="398" t="s">
        <v>1112</v>
      </c>
      <c r="B594" s="604">
        <v>0</v>
      </c>
      <c r="C594" s="434" t="s">
        <v>523</v>
      </c>
      <c r="D594" s="303" t="s">
        <v>950</v>
      </c>
      <c r="E594" s="279"/>
      <c r="F594" s="382"/>
      <c r="G594" s="308"/>
      <c r="H594" s="163"/>
      <c r="J594" s="104"/>
    </row>
    <row r="595" spans="1:10" ht="12.75">
      <c r="A595" s="399" t="s">
        <v>1112</v>
      </c>
      <c r="B595" s="603">
        <v>0</v>
      </c>
      <c r="C595" s="434" t="s">
        <v>570</v>
      </c>
      <c r="D595" s="303" t="s">
        <v>993</v>
      </c>
      <c r="E595" s="279"/>
      <c r="F595" s="382"/>
      <c r="G595" s="308"/>
      <c r="H595" s="163"/>
      <c r="J595" s="104"/>
    </row>
    <row r="596" spans="1:10" ht="12.75">
      <c r="A596" s="441" t="s">
        <v>1112</v>
      </c>
      <c r="B596" s="599">
        <v>0</v>
      </c>
      <c r="C596" s="436" t="s">
        <v>585</v>
      </c>
      <c r="D596" s="350" t="s">
        <v>1113</v>
      </c>
      <c r="E596" s="279"/>
      <c r="F596" s="382"/>
      <c r="G596" s="308"/>
      <c r="H596" s="383"/>
      <c r="J596" s="104"/>
    </row>
    <row r="597" spans="1:10" ht="12.75">
      <c r="A597" s="399" t="s">
        <v>1112</v>
      </c>
      <c r="B597" s="874">
        <v>0</v>
      </c>
      <c r="C597" s="434" t="s">
        <v>606</v>
      </c>
      <c r="D597" s="336" t="s">
        <v>940</v>
      </c>
      <c r="E597" s="279"/>
      <c r="F597" s="382"/>
      <c r="G597" s="308"/>
      <c r="H597" s="383"/>
      <c r="J597" s="104"/>
    </row>
    <row r="598" spans="1:10" ht="12.75">
      <c r="A598" s="707" t="s">
        <v>1112</v>
      </c>
      <c r="B598" s="604">
        <v>2</v>
      </c>
      <c r="C598" s="705" t="s">
        <v>548</v>
      </c>
      <c r="D598" s="702" t="s">
        <v>941</v>
      </c>
      <c r="E598" s="279"/>
      <c r="F598" s="382"/>
      <c r="G598" s="308"/>
      <c r="H598" s="163"/>
      <c r="J598" s="104"/>
    </row>
    <row r="599" spans="1:10" ht="12.75">
      <c r="A599" s="398" t="s">
        <v>1112</v>
      </c>
      <c r="B599" s="604">
        <f>20+20</f>
        <v>40</v>
      </c>
      <c r="C599" s="445" t="s">
        <v>550</v>
      </c>
      <c r="D599" s="346" t="s">
        <v>551</v>
      </c>
      <c r="E599" s="279"/>
      <c r="F599" s="382"/>
      <c r="G599" s="308"/>
      <c r="H599" s="163"/>
      <c r="J599" s="104"/>
    </row>
    <row r="600" spans="1:10" ht="12.75">
      <c r="A600" s="399" t="s">
        <v>1112</v>
      </c>
      <c r="B600" s="874">
        <v>220</v>
      </c>
      <c r="C600" s="434" t="s">
        <v>552</v>
      </c>
      <c r="D600" s="336" t="s">
        <v>1114</v>
      </c>
      <c r="E600" s="279"/>
      <c r="F600" s="382"/>
      <c r="G600" s="308"/>
      <c r="H600" s="383"/>
      <c r="J600" s="104"/>
    </row>
    <row r="601" spans="1:10" ht="12.75">
      <c r="A601" s="399" t="s">
        <v>1112</v>
      </c>
      <c r="B601" s="604">
        <v>0</v>
      </c>
      <c r="C601" s="434" t="s">
        <v>554</v>
      </c>
      <c r="D601" s="425" t="s">
        <v>293</v>
      </c>
      <c r="E601" s="279"/>
      <c r="F601" s="382"/>
      <c r="G601" s="308"/>
      <c r="H601" s="163"/>
      <c r="J601" s="104"/>
    </row>
    <row r="602" spans="1:10" ht="12.75">
      <c r="A602" s="399" t="s">
        <v>1112</v>
      </c>
      <c r="B602" s="874">
        <v>0</v>
      </c>
      <c r="C602" s="434" t="s">
        <v>558</v>
      </c>
      <c r="D602" s="303" t="s">
        <v>944</v>
      </c>
      <c r="E602" s="279"/>
      <c r="F602" s="382"/>
      <c r="G602" s="308"/>
      <c r="H602" s="163"/>
      <c r="J602" s="104"/>
    </row>
    <row r="603" spans="1:10" ht="12.75">
      <c r="A603" s="399" t="s">
        <v>1112</v>
      </c>
      <c r="B603" s="604">
        <v>18</v>
      </c>
      <c r="C603" s="434" t="s">
        <v>576</v>
      </c>
      <c r="D603" s="299" t="s">
        <v>971</v>
      </c>
      <c r="E603" s="279"/>
      <c r="F603" s="382"/>
      <c r="G603" s="308"/>
      <c r="H603" s="163"/>
      <c r="J603" s="104"/>
    </row>
    <row r="604" spans="1:10" ht="12.75">
      <c r="A604" s="399" t="s">
        <v>1112</v>
      </c>
      <c r="B604" s="469">
        <v>0</v>
      </c>
      <c r="C604" s="434" t="s">
        <v>526</v>
      </c>
      <c r="D604" s="303" t="s">
        <v>527</v>
      </c>
      <c r="E604" s="279"/>
      <c r="F604" s="382"/>
      <c r="G604" s="308"/>
      <c r="H604" s="163"/>
      <c r="J604" s="104"/>
    </row>
    <row r="605" spans="1:10" ht="12.75">
      <c r="A605" s="399" t="s">
        <v>1112</v>
      </c>
      <c r="B605" s="469">
        <v>0</v>
      </c>
      <c r="C605" s="434" t="s">
        <v>851</v>
      </c>
      <c r="D605" s="425" t="s">
        <v>167</v>
      </c>
      <c r="E605" s="279"/>
      <c r="F605" s="382"/>
      <c r="G605" s="308"/>
      <c r="H605" s="163"/>
      <c r="J605" s="104"/>
    </row>
    <row r="606" spans="1:10" ht="12.75">
      <c r="A606" s="399" t="s">
        <v>1112</v>
      </c>
      <c r="B606" s="469">
        <v>0</v>
      </c>
      <c r="C606" s="434" t="s">
        <v>869</v>
      </c>
      <c r="D606" s="303" t="s">
        <v>1115</v>
      </c>
      <c r="E606" s="279"/>
      <c r="F606" s="382"/>
      <c r="G606" s="308"/>
      <c r="H606" s="163"/>
      <c r="J606" s="104"/>
    </row>
    <row r="607" spans="1:10" ht="12.75">
      <c r="A607" s="399" t="s">
        <v>1112</v>
      </c>
      <c r="B607" s="469">
        <v>35</v>
      </c>
      <c r="C607" s="434" t="s">
        <v>562</v>
      </c>
      <c r="D607" s="303" t="s">
        <v>946</v>
      </c>
      <c r="E607" s="279"/>
      <c r="F607" s="382">
        <f>SUM(B593:B607)</f>
        <v>4293</v>
      </c>
      <c r="G607" s="308"/>
      <c r="H607" s="163"/>
      <c r="J607" s="104"/>
    </row>
    <row r="608" spans="1:10" ht="12.75">
      <c r="A608" s="399" t="s">
        <v>1116</v>
      </c>
      <c r="B608" s="568">
        <v>0</v>
      </c>
      <c r="C608" s="434" t="s">
        <v>608</v>
      </c>
      <c r="D608" s="425" t="s">
        <v>310</v>
      </c>
      <c r="E608" s="279"/>
      <c r="F608" s="382"/>
      <c r="G608" s="308"/>
      <c r="H608" s="163"/>
      <c r="J608" s="104"/>
    </row>
    <row r="609" spans="1:10" ht="12.75">
      <c r="A609" s="399" t="s">
        <v>1116</v>
      </c>
      <c r="B609" s="469">
        <v>0</v>
      </c>
      <c r="C609" s="434" t="s">
        <v>923</v>
      </c>
      <c r="D609" s="336" t="s">
        <v>1117</v>
      </c>
      <c r="E609" s="279"/>
      <c r="F609" s="382"/>
      <c r="G609" s="308"/>
      <c r="H609" s="383"/>
      <c r="J609" s="104"/>
    </row>
    <row r="610" spans="1:10" ht="12.75">
      <c r="A610" s="399" t="s">
        <v>1118</v>
      </c>
      <c r="B610" s="469">
        <v>0</v>
      </c>
      <c r="C610" s="434" t="s">
        <v>926</v>
      </c>
      <c r="D610" s="303" t="s">
        <v>979</v>
      </c>
      <c r="E610" s="279"/>
      <c r="F610" s="382"/>
      <c r="G610" s="308"/>
      <c r="H610" s="163"/>
      <c r="J610" s="104"/>
    </row>
    <row r="611" spans="1:10" ht="12.75">
      <c r="A611" s="441" t="s">
        <v>173</v>
      </c>
      <c r="B611" s="469">
        <v>0</v>
      </c>
      <c r="C611" s="471" t="s">
        <v>1087</v>
      </c>
      <c r="D611" s="427" t="s">
        <v>305</v>
      </c>
      <c r="E611" s="279"/>
      <c r="F611" s="382"/>
      <c r="G611" s="308"/>
      <c r="H611" s="163"/>
      <c r="J611" s="104"/>
    </row>
    <row r="612" spans="1:10" ht="12.75">
      <c r="A612" s="441" t="s">
        <v>1118</v>
      </c>
      <c r="B612" s="568">
        <v>1</v>
      </c>
      <c r="C612" s="471" t="s">
        <v>976</v>
      </c>
      <c r="D612" s="427" t="s">
        <v>736</v>
      </c>
      <c r="E612" s="279"/>
      <c r="F612" s="382"/>
      <c r="G612" s="308"/>
      <c r="H612" s="163"/>
      <c r="J612" s="104"/>
    </row>
    <row r="613" spans="1:10" ht="12.75">
      <c r="A613" s="441" t="s">
        <v>1118</v>
      </c>
      <c r="B613" s="756">
        <v>29</v>
      </c>
      <c r="C613" s="471" t="s">
        <v>737</v>
      </c>
      <c r="D613" s="427" t="s">
        <v>738</v>
      </c>
      <c r="E613" s="279"/>
      <c r="F613" s="382">
        <f>SUM(B608:B614)</f>
        <v>30</v>
      </c>
      <c r="G613" s="308"/>
      <c r="H613" s="163"/>
      <c r="J613" s="104"/>
    </row>
    <row r="614" spans="1:10" ht="12.75">
      <c r="A614" s="441" t="s">
        <v>1118</v>
      </c>
      <c r="B614" s="472">
        <v>0</v>
      </c>
      <c r="C614" s="471" t="s">
        <v>924</v>
      </c>
      <c r="D614" s="427" t="s">
        <v>350</v>
      </c>
      <c r="E614" s="279"/>
      <c r="F614" s="382"/>
      <c r="G614" s="308"/>
      <c r="H614" s="163"/>
      <c r="J614" s="104"/>
    </row>
    <row r="615" spans="1:10" ht="12.75">
      <c r="A615" s="399" t="s">
        <v>1119</v>
      </c>
      <c r="B615" s="469">
        <v>0</v>
      </c>
      <c r="C615" s="434" t="s">
        <v>606</v>
      </c>
      <c r="D615" s="303" t="s">
        <v>940</v>
      </c>
      <c r="E615" s="279"/>
      <c r="F615" s="382"/>
      <c r="G615" s="308"/>
      <c r="H615" s="163"/>
      <c r="J615" s="104"/>
    </row>
    <row r="616" spans="1:10" ht="12.75">
      <c r="A616" s="707" t="s">
        <v>1119</v>
      </c>
      <c r="B616" s="604">
        <v>30</v>
      </c>
      <c r="C616" s="705" t="s">
        <v>548</v>
      </c>
      <c r="D616" s="702" t="s">
        <v>941</v>
      </c>
      <c r="E616" s="279"/>
      <c r="F616" s="382"/>
      <c r="G616" s="308"/>
      <c r="H616" s="383"/>
      <c r="J616" s="104"/>
    </row>
    <row r="617" spans="1:10" ht="12.75">
      <c r="A617" s="707" t="s">
        <v>1119</v>
      </c>
      <c r="B617" s="603">
        <v>0</v>
      </c>
      <c r="C617" s="752" t="s">
        <v>552</v>
      </c>
      <c r="D617" s="753" t="s">
        <v>1114</v>
      </c>
      <c r="E617" s="279"/>
      <c r="F617" s="382"/>
      <c r="G617" s="308"/>
      <c r="H617" s="383"/>
      <c r="J617" s="104"/>
    </row>
    <row r="618" spans="1:10" ht="12.75">
      <c r="A618" s="398" t="s">
        <v>1119</v>
      </c>
      <c r="B618" s="604">
        <v>0</v>
      </c>
      <c r="C618" s="434" t="s">
        <v>531</v>
      </c>
      <c r="D618" s="336" t="s">
        <v>1120</v>
      </c>
      <c r="E618" s="279"/>
      <c r="F618" s="382"/>
      <c r="G618" s="308"/>
      <c r="H618" s="163"/>
      <c r="J618" s="104"/>
    </row>
    <row r="619" spans="1:10" ht="12.75">
      <c r="A619" s="399" t="s">
        <v>1119</v>
      </c>
      <c r="B619" s="469">
        <v>0</v>
      </c>
      <c r="C619" s="434" t="s">
        <v>936</v>
      </c>
      <c r="D619" s="336" t="s">
        <v>1121</v>
      </c>
      <c r="E619" s="279"/>
      <c r="F619" s="382"/>
      <c r="G619" s="308"/>
      <c r="H619" s="163"/>
      <c r="J619" s="104"/>
    </row>
    <row r="620" spans="1:10" ht="12.75">
      <c r="A620" s="399" t="s">
        <v>1119</v>
      </c>
      <c r="B620" s="469">
        <v>0</v>
      </c>
      <c r="C620" s="434" t="s">
        <v>615</v>
      </c>
      <c r="D620" s="229" t="s">
        <v>1123</v>
      </c>
      <c r="E620" s="279"/>
      <c r="F620" s="382"/>
      <c r="G620" s="308"/>
      <c r="H620" s="163"/>
      <c r="J620" s="104"/>
    </row>
    <row r="621" spans="1:10" ht="12.75">
      <c r="A621" s="399" t="s">
        <v>1119</v>
      </c>
      <c r="B621" s="568">
        <v>0</v>
      </c>
      <c r="C621" s="434" t="s">
        <v>554</v>
      </c>
      <c r="D621" s="425" t="s">
        <v>293</v>
      </c>
      <c r="E621" s="279"/>
      <c r="F621" s="114"/>
      <c r="G621" s="388"/>
      <c r="H621" s="389"/>
      <c r="J621" s="104"/>
    </row>
    <row r="622" spans="1:10" ht="13.5" thickBot="1">
      <c r="A622" s="399" t="s">
        <v>1119</v>
      </c>
      <c r="B622" s="597">
        <v>0</v>
      </c>
      <c r="C622" s="436" t="s">
        <v>558</v>
      </c>
      <c r="D622" s="303" t="s">
        <v>944</v>
      </c>
      <c r="E622" s="279"/>
      <c r="F622" s="104">
        <f>SUM(B615:B622)</f>
        <v>30</v>
      </c>
      <c r="J622" s="104"/>
    </row>
    <row r="623" spans="1:10" ht="13.5" thickBot="1">
      <c r="A623" s="377" t="s">
        <v>358</v>
      </c>
      <c r="B623" s="570">
        <f>SUM(B593:B622)</f>
        <v>4353</v>
      </c>
      <c r="C623" s="320"/>
      <c r="D623" s="321"/>
      <c r="J623" s="104"/>
    </row>
    <row r="624" spans="1:10" ht="12.75">
      <c r="A624" s="352"/>
      <c r="B624" s="378"/>
      <c r="C624" s="308"/>
      <c r="D624" s="352"/>
      <c r="J624" s="104"/>
    </row>
    <row r="625" spans="1:10" ht="19.5" thickBot="1">
      <c r="A625" s="400" t="s">
        <v>1124</v>
      </c>
      <c r="B625" s="290"/>
      <c r="C625" s="308"/>
      <c r="D625" s="163"/>
      <c r="J625" s="104"/>
    </row>
    <row r="626" spans="1:10" ht="12.75">
      <c r="A626" s="292" t="s">
        <v>500</v>
      </c>
      <c r="B626" s="1029" t="s">
        <v>1219</v>
      </c>
      <c r="C626" s="309" t="s">
        <v>502</v>
      </c>
      <c r="D626" s="310" t="s">
        <v>1125</v>
      </c>
      <c r="J626" s="104"/>
    </row>
    <row r="627" spans="1:10" ht="13.5" thickBot="1">
      <c r="A627" s="295"/>
      <c r="B627" s="296" t="s">
        <v>695</v>
      </c>
      <c r="C627" s="311" t="s">
        <v>504</v>
      </c>
      <c r="D627" s="312"/>
      <c r="J627" s="104"/>
    </row>
    <row r="628" spans="1:10" ht="12.75">
      <c r="A628" s="313" t="s">
        <v>1126</v>
      </c>
      <c r="B628" s="598">
        <v>0</v>
      </c>
      <c r="C628" s="452" t="s">
        <v>523</v>
      </c>
      <c r="D628" s="303" t="s">
        <v>950</v>
      </c>
      <c r="J628" s="104"/>
    </row>
    <row r="629" spans="1:10" ht="12.75">
      <c r="A629" s="315" t="s">
        <v>1126</v>
      </c>
      <c r="B629" s="603">
        <v>0</v>
      </c>
      <c r="C629" s="434" t="s">
        <v>541</v>
      </c>
      <c r="D629" s="337" t="s">
        <v>1127</v>
      </c>
      <c r="J629" s="104"/>
    </row>
    <row r="630" spans="1:10" ht="12.75">
      <c r="A630" s="315" t="s">
        <v>1126</v>
      </c>
      <c r="B630" s="603">
        <v>0</v>
      </c>
      <c r="C630" s="434" t="s">
        <v>889</v>
      </c>
      <c r="D630" s="351" t="s">
        <v>263</v>
      </c>
      <c r="J630" s="104"/>
    </row>
    <row r="631" spans="1:10" ht="12.75">
      <c r="A631" s="315" t="s">
        <v>1126</v>
      </c>
      <c r="B631" s="604">
        <v>0</v>
      </c>
      <c r="C631" s="527" t="s">
        <v>1173</v>
      </c>
      <c r="D631" s="425" t="s">
        <v>55</v>
      </c>
      <c r="J631" s="104"/>
    </row>
    <row r="632" spans="1:10" ht="12.75">
      <c r="A632" s="302" t="s">
        <v>1126</v>
      </c>
      <c r="B632" s="886">
        <v>0</v>
      </c>
      <c r="C632" s="671" t="s">
        <v>158</v>
      </c>
      <c r="D632" s="427" t="s">
        <v>172</v>
      </c>
      <c r="J632" s="104"/>
    </row>
    <row r="633" spans="1:10" ht="12.75">
      <c r="A633" s="315" t="s">
        <v>1126</v>
      </c>
      <c r="B633" s="600">
        <v>0</v>
      </c>
      <c r="C633" s="434" t="s">
        <v>606</v>
      </c>
      <c r="D633" s="303" t="s">
        <v>940</v>
      </c>
      <c r="J633" s="104"/>
    </row>
    <row r="634" spans="1:10" ht="12.75">
      <c r="A634" s="706" t="s">
        <v>1126</v>
      </c>
      <c r="B634" s="604">
        <v>0</v>
      </c>
      <c r="C634" s="705" t="s">
        <v>548</v>
      </c>
      <c r="D634" s="702" t="s">
        <v>941</v>
      </c>
      <c r="J634" s="104"/>
    </row>
    <row r="635" spans="1:10" ht="12.75">
      <c r="A635" s="359" t="s">
        <v>1126</v>
      </c>
      <c r="B635" s="604">
        <v>0</v>
      </c>
      <c r="C635" s="445" t="s">
        <v>610</v>
      </c>
      <c r="D635" s="346" t="s">
        <v>978</v>
      </c>
      <c r="J635" s="104"/>
    </row>
    <row r="636" spans="1:10" ht="12.75">
      <c r="A636" s="315" t="s">
        <v>1126</v>
      </c>
      <c r="B636" s="603">
        <v>0</v>
      </c>
      <c r="C636" s="434" t="s">
        <v>546</v>
      </c>
      <c r="D636" s="303" t="s">
        <v>997</v>
      </c>
      <c r="J636" s="104"/>
    </row>
    <row r="637" spans="1:10" ht="12.75">
      <c r="A637" s="315" t="s">
        <v>1126</v>
      </c>
      <c r="B637" s="603">
        <v>0</v>
      </c>
      <c r="C637" s="434" t="s">
        <v>552</v>
      </c>
      <c r="D637" s="299" t="s">
        <v>1016</v>
      </c>
      <c r="J637" s="104"/>
    </row>
    <row r="638" spans="1:10" ht="12.75">
      <c r="A638" s="423" t="s">
        <v>1126</v>
      </c>
      <c r="B638" s="604">
        <v>0</v>
      </c>
      <c r="C638" s="435" t="s">
        <v>875</v>
      </c>
      <c r="D638" s="303" t="s">
        <v>943</v>
      </c>
      <c r="J638" s="104"/>
    </row>
    <row r="639" spans="1:10" ht="12.75">
      <c r="A639" s="315" t="s">
        <v>1126</v>
      </c>
      <c r="B639" s="604">
        <v>0</v>
      </c>
      <c r="C639" s="434" t="s">
        <v>554</v>
      </c>
      <c r="D639" s="425" t="s">
        <v>293</v>
      </c>
      <c r="J639" s="104"/>
    </row>
    <row r="640" spans="1:10" ht="12.75">
      <c r="A640" s="315" t="s">
        <v>1126</v>
      </c>
      <c r="B640" s="604">
        <v>0</v>
      </c>
      <c r="C640" s="434" t="s">
        <v>558</v>
      </c>
      <c r="D640" s="303" t="s">
        <v>944</v>
      </c>
      <c r="J640" s="104"/>
    </row>
    <row r="641" spans="1:10" ht="12.75">
      <c r="A641" s="315" t="s">
        <v>1126</v>
      </c>
      <c r="B641" s="603">
        <v>0</v>
      </c>
      <c r="C641" s="435" t="s">
        <v>576</v>
      </c>
      <c r="D641" s="299" t="s">
        <v>971</v>
      </c>
      <c r="J641" s="104"/>
    </row>
    <row r="642" spans="1:10" ht="12.75">
      <c r="A642" s="315" t="s">
        <v>1126</v>
      </c>
      <c r="B642" s="604">
        <v>0</v>
      </c>
      <c r="C642" s="434" t="s">
        <v>560</v>
      </c>
      <c r="D642" s="425" t="s">
        <v>475</v>
      </c>
      <c r="J642" s="104"/>
    </row>
    <row r="643" spans="1:10" ht="12.75">
      <c r="A643" s="315" t="s">
        <v>1126</v>
      </c>
      <c r="B643" s="604">
        <v>0</v>
      </c>
      <c r="C643" s="434" t="s">
        <v>980</v>
      </c>
      <c r="D643" s="303" t="s">
        <v>981</v>
      </c>
      <c r="J643" s="104"/>
    </row>
    <row r="644" spans="1:10" ht="12.75">
      <c r="A644" s="315" t="s">
        <v>1126</v>
      </c>
      <c r="B644" s="603">
        <v>0</v>
      </c>
      <c r="C644" s="434" t="s">
        <v>851</v>
      </c>
      <c r="D644" s="425" t="s">
        <v>167</v>
      </c>
      <c r="J644" s="104"/>
    </row>
    <row r="645" spans="1:10" ht="12.75">
      <c r="A645" s="302" t="s">
        <v>1126</v>
      </c>
      <c r="B645" s="604">
        <v>0</v>
      </c>
      <c r="C645" s="436" t="s">
        <v>562</v>
      </c>
      <c r="D645" s="303" t="s">
        <v>946</v>
      </c>
      <c r="J645" s="104"/>
    </row>
    <row r="646" spans="1:10" ht="13.5" thickBot="1">
      <c r="A646" s="319" t="s">
        <v>1126</v>
      </c>
      <c r="B646" s="888">
        <v>0</v>
      </c>
      <c r="C646" s="437" t="s">
        <v>564</v>
      </c>
      <c r="D646" s="303" t="s">
        <v>947</v>
      </c>
      <c r="F646" s="104">
        <f>SUM(B628:B646)</f>
        <v>0</v>
      </c>
      <c r="J646" s="104"/>
    </row>
    <row r="647" spans="1:10" ht="13.5" thickBot="1">
      <c r="A647" s="377" t="s">
        <v>358</v>
      </c>
      <c r="B647" s="570">
        <f>SUM(B628:B646)</f>
        <v>0</v>
      </c>
      <c r="C647" s="320"/>
      <c r="D647" s="321"/>
      <c r="J647" s="104"/>
    </row>
    <row r="648" spans="1:10" ht="7.5" customHeight="1">
      <c r="A648" s="352"/>
      <c r="B648" s="378"/>
      <c r="C648" s="401"/>
      <c r="D648" s="352"/>
      <c r="E648" s="163"/>
      <c r="F648" s="163"/>
      <c r="G648" s="163"/>
      <c r="H648" s="163"/>
      <c r="I648" s="163"/>
      <c r="J648" s="104"/>
    </row>
    <row r="649" spans="1:10" ht="5.25" customHeight="1">
      <c r="A649" s="352"/>
      <c r="B649" s="378"/>
      <c r="C649" s="308"/>
      <c r="D649" s="352"/>
      <c r="E649" s="163"/>
      <c r="F649" s="163"/>
      <c r="G649" s="163"/>
      <c r="H649" s="163"/>
      <c r="I649" s="163"/>
      <c r="J649" s="104"/>
    </row>
    <row r="650" spans="1:10" ht="3" customHeight="1">
      <c r="A650" s="352"/>
      <c r="B650" s="378"/>
      <c r="C650" s="308"/>
      <c r="D650" s="352"/>
      <c r="E650" s="163"/>
      <c r="F650" s="163"/>
      <c r="G650" s="163"/>
      <c r="H650" s="163"/>
      <c r="I650" s="163"/>
      <c r="J650" s="104"/>
    </row>
    <row r="651" spans="1:10" ht="19.5" thickBot="1">
      <c r="A651" s="400" t="s">
        <v>1128</v>
      </c>
      <c r="B651" s="290"/>
      <c r="C651" s="308"/>
      <c r="D651" s="163"/>
      <c r="J651" s="104"/>
    </row>
    <row r="652" spans="1:10" ht="14.25" customHeight="1">
      <c r="A652" s="292" t="s">
        <v>500</v>
      </c>
      <c r="B652" s="1029" t="s">
        <v>1219</v>
      </c>
      <c r="C652" s="309" t="s">
        <v>502</v>
      </c>
      <c r="D652" s="310" t="s">
        <v>503</v>
      </c>
      <c r="J652" s="104"/>
    </row>
    <row r="653" spans="1:10" ht="13.5" thickBot="1">
      <c r="A653" s="295"/>
      <c r="B653" s="296" t="s">
        <v>695</v>
      </c>
      <c r="C653" s="311" t="s">
        <v>504</v>
      </c>
      <c r="D653" s="312"/>
      <c r="J653" s="104"/>
    </row>
    <row r="654" spans="1:10" ht="12.75">
      <c r="A654" s="706" t="s">
        <v>1129</v>
      </c>
      <c r="B654" s="605">
        <v>0</v>
      </c>
      <c r="C654" s="705" t="s">
        <v>548</v>
      </c>
      <c r="D654" s="702" t="s">
        <v>941</v>
      </c>
      <c r="F654" s="290"/>
      <c r="G654" s="308"/>
      <c r="H654" s="163"/>
      <c r="J654" s="104"/>
    </row>
    <row r="655" spans="1:10" ht="12.75">
      <c r="A655" s="359" t="s">
        <v>1130</v>
      </c>
      <c r="B655" s="605">
        <v>4670</v>
      </c>
      <c r="C655" s="460" t="s">
        <v>889</v>
      </c>
      <c r="D655" s="354" t="s">
        <v>1131</v>
      </c>
      <c r="F655" s="290"/>
      <c r="G655" s="308"/>
      <c r="H655" s="402"/>
      <c r="J655" s="104"/>
    </row>
    <row r="656" spans="1:10" ht="12.75">
      <c r="A656" s="359" t="s">
        <v>1130</v>
      </c>
      <c r="B656" s="605">
        <v>0</v>
      </c>
      <c r="C656" s="461" t="s">
        <v>908</v>
      </c>
      <c r="D656" s="347" t="s">
        <v>264</v>
      </c>
      <c r="F656" s="290"/>
      <c r="G656" s="308"/>
      <c r="H656" s="403"/>
      <c r="J656" s="104"/>
    </row>
    <row r="657" spans="1:10" ht="12.75">
      <c r="A657" s="359" t="s">
        <v>1130</v>
      </c>
      <c r="B657" s="605">
        <v>0</v>
      </c>
      <c r="C657" s="461" t="s">
        <v>864</v>
      </c>
      <c r="D657" s="358" t="s">
        <v>1132</v>
      </c>
      <c r="F657" s="290"/>
      <c r="G657" s="404"/>
      <c r="H657" s="403"/>
      <c r="J657" s="104"/>
    </row>
    <row r="658" spans="1:10" ht="12.75">
      <c r="A658" s="428" t="s">
        <v>1130</v>
      </c>
      <c r="B658" s="538">
        <v>0</v>
      </c>
      <c r="C658" s="462" t="s">
        <v>24</v>
      </c>
      <c r="D658" s="347" t="s">
        <v>1122</v>
      </c>
      <c r="F658" s="290"/>
      <c r="G658" s="404"/>
      <c r="H658" s="403"/>
      <c r="J658" s="104"/>
    </row>
    <row r="659" spans="1:10" ht="12.75">
      <c r="A659" s="428" t="s">
        <v>1130</v>
      </c>
      <c r="B659" s="538">
        <v>0</v>
      </c>
      <c r="C659" s="462" t="s">
        <v>422</v>
      </c>
      <c r="D659" s="347" t="s">
        <v>222</v>
      </c>
      <c r="F659" s="290"/>
      <c r="G659" s="404"/>
      <c r="H659" s="403"/>
      <c r="J659" s="104"/>
    </row>
    <row r="660" spans="1:10" ht="12.75">
      <c r="A660" s="428" t="s">
        <v>1130</v>
      </c>
      <c r="B660" s="605">
        <f>583+103</f>
        <v>686</v>
      </c>
      <c r="C660" s="462" t="s">
        <v>837</v>
      </c>
      <c r="D660" s="347" t="s">
        <v>586</v>
      </c>
      <c r="F660" s="290"/>
      <c r="G660" s="404"/>
      <c r="H660" s="403"/>
      <c r="J660" s="104"/>
    </row>
    <row r="661" spans="1:10" ht="12.75">
      <c r="A661" s="428" t="s">
        <v>1130</v>
      </c>
      <c r="B661" s="605">
        <v>14</v>
      </c>
      <c r="C661" s="462" t="s">
        <v>479</v>
      </c>
      <c r="D661" s="347" t="s">
        <v>487</v>
      </c>
      <c r="F661" s="290"/>
      <c r="G661" s="404"/>
      <c r="H661" s="403"/>
      <c r="J661" s="104"/>
    </row>
    <row r="662" spans="1:10" ht="12.75">
      <c r="A662" s="428" t="s">
        <v>1130</v>
      </c>
      <c r="B662" s="605">
        <v>0</v>
      </c>
      <c r="C662" s="462" t="s">
        <v>1071</v>
      </c>
      <c r="D662" s="347" t="s">
        <v>1075</v>
      </c>
      <c r="F662" s="290"/>
      <c r="G662" s="404"/>
      <c r="H662" s="403"/>
      <c r="J662" s="104"/>
    </row>
    <row r="663" spans="1:10" ht="12.75">
      <c r="A663" s="428" t="s">
        <v>1130</v>
      </c>
      <c r="B663" s="605">
        <v>30</v>
      </c>
      <c r="C663" s="462" t="s">
        <v>1257</v>
      </c>
      <c r="D663" s="347" t="s">
        <v>1259</v>
      </c>
      <c r="F663" s="290"/>
      <c r="G663" s="404"/>
      <c r="H663" s="403"/>
      <c r="J663" s="104"/>
    </row>
    <row r="664" spans="1:10" ht="12.75">
      <c r="A664" s="428" t="s">
        <v>1130</v>
      </c>
      <c r="B664" s="605">
        <v>7</v>
      </c>
      <c r="C664" s="462" t="s">
        <v>936</v>
      </c>
      <c r="D664" s="336" t="s">
        <v>1121</v>
      </c>
      <c r="F664" s="290"/>
      <c r="G664" s="404"/>
      <c r="H664" s="403"/>
      <c r="J664" s="104"/>
    </row>
    <row r="665" spans="1:10" ht="12.75">
      <c r="A665" s="359" t="s">
        <v>1130</v>
      </c>
      <c r="B665" s="605">
        <v>0</v>
      </c>
      <c r="C665" s="461" t="s">
        <v>998</v>
      </c>
      <c r="D665" s="347" t="s">
        <v>999</v>
      </c>
      <c r="F665" s="290"/>
      <c r="G665" s="404"/>
      <c r="H665" s="403"/>
      <c r="J665" s="104"/>
    </row>
    <row r="666" spans="1:10" ht="12.75">
      <c r="A666" s="359" t="s">
        <v>1130</v>
      </c>
      <c r="B666" s="605">
        <v>0</v>
      </c>
      <c r="C666" s="461" t="s">
        <v>1133</v>
      </c>
      <c r="D666" s="347" t="s">
        <v>1134</v>
      </c>
      <c r="F666" s="290"/>
      <c r="G666" s="404"/>
      <c r="H666" s="403"/>
      <c r="J666" s="104"/>
    </row>
    <row r="667" spans="1:10" ht="12.75">
      <c r="A667" s="359" t="s">
        <v>1130</v>
      </c>
      <c r="B667" s="605">
        <v>610</v>
      </c>
      <c r="C667" s="461" t="s">
        <v>615</v>
      </c>
      <c r="D667" s="347" t="s">
        <v>844</v>
      </c>
      <c r="F667" s="290"/>
      <c r="G667" s="404"/>
      <c r="H667" s="403"/>
      <c r="J667" s="104"/>
    </row>
    <row r="668" spans="1:10" ht="12.75">
      <c r="A668" s="359" t="s">
        <v>1130</v>
      </c>
      <c r="B668" s="605">
        <v>720</v>
      </c>
      <c r="C668" s="461" t="s">
        <v>924</v>
      </c>
      <c r="D668" s="347" t="s">
        <v>1192</v>
      </c>
      <c r="F668" s="290">
        <f>SUM(B654:B677)</f>
        <v>13168</v>
      </c>
      <c r="G668" s="404"/>
      <c r="H668" s="403"/>
      <c r="I668" s="104"/>
      <c r="J668" s="104"/>
    </row>
    <row r="669" spans="1:10" ht="12.75">
      <c r="A669" s="359" t="s">
        <v>1130</v>
      </c>
      <c r="B669" s="605">
        <v>450</v>
      </c>
      <c r="C669" s="462" t="s">
        <v>620</v>
      </c>
      <c r="D669" s="347" t="s">
        <v>1194</v>
      </c>
      <c r="F669" s="290"/>
      <c r="G669" s="404"/>
      <c r="H669" s="403"/>
      <c r="I669" s="104"/>
      <c r="J669" s="104"/>
    </row>
    <row r="670" spans="1:10" ht="12.75">
      <c r="A670" s="359" t="s">
        <v>1130</v>
      </c>
      <c r="B670" s="605">
        <v>2279</v>
      </c>
      <c r="C670" s="676" t="s">
        <v>373</v>
      </c>
      <c r="D670" s="675" t="s">
        <v>287</v>
      </c>
      <c r="F670" s="290"/>
      <c r="G670" s="404"/>
      <c r="H670" s="403"/>
      <c r="I670" s="104"/>
      <c r="J670" s="104"/>
    </row>
    <row r="671" spans="1:10" ht="12.75">
      <c r="A671" s="359" t="s">
        <v>1130</v>
      </c>
      <c r="B671" s="605">
        <f>678-117-21</f>
        <v>540</v>
      </c>
      <c r="C671" s="676" t="s">
        <v>376</v>
      </c>
      <c r="D671" s="675" t="s">
        <v>288</v>
      </c>
      <c r="F671" s="290"/>
      <c r="G671" s="404"/>
      <c r="H671" s="403"/>
      <c r="I671" s="104"/>
      <c r="J671" s="104"/>
    </row>
    <row r="672" spans="1:10" ht="12.75">
      <c r="A672" s="731" t="s">
        <v>1130</v>
      </c>
      <c r="B672" s="605">
        <v>250</v>
      </c>
      <c r="C672" s="732" t="s">
        <v>840</v>
      </c>
      <c r="D672" s="733" t="s">
        <v>596</v>
      </c>
      <c r="E672" s="240"/>
      <c r="F672" s="56"/>
      <c r="G672" s="404"/>
      <c r="H672" s="403"/>
      <c r="I672" s="104"/>
      <c r="J672" s="104"/>
    </row>
    <row r="673" spans="1:10" ht="12.75">
      <c r="A673" s="731" t="s">
        <v>1130</v>
      </c>
      <c r="B673" s="605">
        <v>2882</v>
      </c>
      <c r="C673" s="732" t="s">
        <v>597</v>
      </c>
      <c r="D673" s="733" t="s">
        <v>600</v>
      </c>
      <c r="E673" s="240"/>
      <c r="F673" s="56"/>
      <c r="G673" s="404"/>
      <c r="H673" s="403"/>
      <c r="I673" s="104"/>
      <c r="J673" s="104"/>
    </row>
    <row r="674" spans="1:10" ht="12.75">
      <c r="A674" s="731" t="s">
        <v>1130</v>
      </c>
      <c r="B674" s="605">
        <v>30</v>
      </c>
      <c r="C674" s="732" t="s">
        <v>1260</v>
      </c>
      <c r="D674" s="733" t="s">
        <v>1263</v>
      </c>
      <c r="E674" s="240"/>
      <c r="F674" s="56"/>
      <c r="G674" s="404"/>
      <c r="H674" s="403"/>
      <c r="I674" s="104"/>
      <c r="J674" s="104"/>
    </row>
    <row r="675" spans="1:10" ht="12.75">
      <c r="A675" s="731" t="s">
        <v>1130</v>
      </c>
      <c r="B675" s="605">
        <v>0</v>
      </c>
      <c r="C675" s="732" t="s">
        <v>1021</v>
      </c>
      <c r="D675" s="733" t="s">
        <v>1074</v>
      </c>
      <c r="E675" s="240"/>
      <c r="F675" s="56"/>
      <c r="G675" s="404"/>
      <c r="H675" s="403"/>
      <c r="I675" s="104"/>
      <c r="J675" s="104"/>
    </row>
    <row r="676" spans="1:10" ht="12.75">
      <c r="A676" s="731" t="s">
        <v>1130</v>
      </c>
      <c r="B676" s="605">
        <v>0</v>
      </c>
      <c r="C676" s="734" t="s">
        <v>516</v>
      </c>
      <c r="D676" s="427" t="s">
        <v>625</v>
      </c>
      <c r="E676" s="240"/>
      <c r="F676" s="56"/>
      <c r="G676" s="404"/>
      <c r="H676" s="403"/>
      <c r="I676" s="104"/>
      <c r="J676" s="104"/>
    </row>
    <row r="677" spans="1:10" ht="12.75">
      <c r="A677" s="359" t="s">
        <v>1130</v>
      </c>
      <c r="B677" s="568">
        <v>0</v>
      </c>
      <c r="C677" s="435" t="s">
        <v>19</v>
      </c>
      <c r="D677" s="347" t="s">
        <v>286</v>
      </c>
      <c r="F677" s="290"/>
      <c r="G677" s="404"/>
      <c r="H677" s="403"/>
      <c r="I677" s="104"/>
      <c r="J677" s="104"/>
    </row>
    <row r="678" spans="1:10" ht="12.75">
      <c r="A678" s="443">
        <v>5321</v>
      </c>
      <c r="B678" s="674">
        <v>0</v>
      </c>
      <c r="C678" s="468" t="s">
        <v>604</v>
      </c>
      <c r="D678" s="229" t="s">
        <v>985</v>
      </c>
      <c r="F678" s="290"/>
      <c r="G678" s="404"/>
      <c r="H678" s="403"/>
      <c r="J678" s="104"/>
    </row>
    <row r="679" spans="1:10" ht="12.75">
      <c r="A679" s="446" t="s">
        <v>1135</v>
      </c>
      <c r="B679" s="568">
        <v>0</v>
      </c>
      <c r="C679" s="489" t="s">
        <v>548</v>
      </c>
      <c r="D679" s="447" t="s">
        <v>941</v>
      </c>
      <c r="F679" s="290"/>
      <c r="G679" s="308"/>
      <c r="H679" s="8"/>
      <c r="J679" s="104"/>
    </row>
    <row r="680" spans="1:10" ht="12.75">
      <c r="A680" s="359" t="s">
        <v>1135</v>
      </c>
      <c r="B680" s="605">
        <v>42</v>
      </c>
      <c r="C680" s="464" t="s">
        <v>609</v>
      </c>
      <c r="D680" s="425" t="s">
        <v>291</v>
      </c>
      <c r="F680" s="290"/>
      <c r="G680" s="379"/>
      <c r="H680" s="163"/>
      <c r="J680" s="104"/>
    </row>
    <row r="681" spans="1:10" ht="12.75">
      <c r="A681" s="315" t="s">
        <v>1135</v>
      </c>
      <c r="B681" s="469">
        <v>0</v>
      </c>
      <c r="C681" s="465" t="s">
        <v>541</v>
      </c>
      <c r="D681" s="303" t="s">
        <v>1127</v>
      </c>
      <c r="F681" s="290"/>
      <c r="G681" s="384"/>
      <c r="H681" s="163"/>
      <c r="J681" s="104"/>
    </row>
    <row r="682" spans="1:10" ht="12.75">
      <c r="A682" s="315" t="s">
        <v>1136</v>
      </c>
      <c r="B682" s="568">
        <v>0</v>
      </c>
      <c r="C682" s="465" t="s">
        <v>609</v>
      </c>
      <c r="D682" s="425" t="s">
        <v>291</v>
      </c>
      <c r="F682" s="290"/>
      <c r="G682" s="379"/>
      <c r="H682" s="163"/>
      <c r="J682" s="104"/>
    </row>
    <row r="683" spans="1:10" ht="12.75">
      <c r="A683" s="315" t="s">
        <v>1137</v>
      </c>
      <c r="B683" s="568">
        <v>100</v>
      </c>
      <c r="C683" s="465" t="s">
        <v>884</v>
      </c>
      <c r="D683" s="303" t="s">
        <v>948</v>
      </c>
      <c r="F683" s="290"/>
      <c r="G683" s="379"/>
      <c r="H683" s="163"/>
      <c r="J683" s="104"/>
    </row>
    <row r="684" spans="1:10" ht="12.75">
      <c r="A684" s="315" t="s">
        <v>1137</v>
      </c>
      <c r="B684" s="469">
        <v>0</v>
      </c>
      <c r="C684" s="465" t="s">
        <v>923</v>
      </c>
      <c r="D684" s="336" t="s">
        <v>1117</v>
      </c>
      <c r="F684" s="290"/>
      <c r="G684" s="379"/>
      <c r="H684" s="163"/>
      <c r="J684" s="104"/>
    </row>
    <row r="685" spans="1:10" ht="12.75">
      <c r="A685" s="315" t="s">
        <v>1138</v>
      </c>
      <c r="B685" s="568">
        <v>0</v>
      </c>
      <c r="C685" s="465" t="s">
        <v>608</v>
      </c>
      <c r="D685" s="425" t="s">
        <v>285</v>
      </c>
      <c r="F685" s="290"/>
      <c r="G685" s="379"/>
      <c r="H685" s="383"/>
      <c r="J685" s="104"/>
    </row>
    <row r="686" spans="1:10" ht="12.75">
      <c r="A686" s="315" t="s">
        <v>1139</v>
      </c>
      <c r="B686" s="568">
        <v>0</v>
      </c>
      <c r="C686" s="465" t="s">
        <v>608</v>
      </c>
      <c r="D686" s="425" t="s">
        <v>285</v>
      </c>
      <c r="F686" s="290"/>
      <c r="G686" s="379"/>
      <c r="H686" s="163"/>
      <c r="J686" s="104"/>
    </row>
    <row r="687" spans="1:10" ht="12.75">
      <c r="A687" s="315" t="s">
        <v>1140</v>
      </c>
      <c r="B687" s="469">
        <v>0</v>
      </c>
      <c r="C687" s="465" t="s">
        <v>923</v>
      </c>
      <c r="D687" s="336" t="s">
        <v>1117</v>
      </c>
      <c r="F687" s="290"/>
      <c r="G687" s="379"/>
      <c r="H687" s="163"/>
      <c r="J687" s="104"/>
    </row>
    <row r="688" spans="1:10" ht="12.75">
      <c r="A688" s="315" t="s">
        <v>1141</v>
      </c>
      <c r="B688" s="469">
        <v>0</v>
      </c>
      <c r="C688" s="465" t="s">
        <v>923</v>
      </c>
      <c r="D688" s="336" t="s">
        <v>1117</v>
      </c>
      <c r="F688" s="290"/>
      <c r="G688" s="379"/>
      <c r="H688" s="383"/>
      <c r="J688" s="104"/>
    </row>
    <row r="689" spans="1:10" ht="12.75">
      <c r="A689" s="302" t="s">
        <v>1141</v>
      </c>
      <c r="B689" s="472">
        <v>0</v>
      </c>
      <c r="C689" s="466" t="s">
        <v>973</v>
      </c>
      <c r="D689" s="299" t="s">
        <v>974</v>
      </c>
      <c r="F689" s="290"/>
      <c r="G689" s="379"/>
      <c r="H689" s="383"/>
      <c r="J689" s="104"/>
    </row>
    <row r="690" spans="1:10" ht="12.75">
      <c r="A690" s="446" t="s">
        <v>1141</v>
      </c>
      <c r="B690" s="568">
        <v>0</v>
      </c>
      <c r="C690" s="489" t="s">
        <v>548</v>
      </c>
      <c r="D690" s="447" t="s">
        <v>941</v>
      </c>
      <c r="F690" s="290"/>
      <c r="G690" s="379"/>
      <c r="H690" s="163"/>
      <c r="J690" s="104"/>
    </row>
    <row r="691" spans="1:10" ht="12.75">
      <c r="A691" s="684" t="s">
        <v>1142</v>
      </c>
      <c r="B691" s="605">
        <v>0</v>
      </c>
      <c r="C691" s="467" t="s">
        <v>608</v>
      </c>
      <c r="D691" s="425" t="s">
        <v>285</v>
      </c>
      <c r="F691" s="290"/>
      <c r="G691" s="379"/>
      <c r="H691" s="163"/>
      <c r="J691" s="104"/>
    </row>
    <row r="692" spans="1:10" ht="12.75">
      <c r="A692" s="315" t="s">
        <v>1142</v>
      </c>
      <c r="B692" s="568">
        <v>0</v>
      </c>
      <c r="C692" s="465" t="s">
        <v>554</v>
      </c>
      <c r="D692" s="425" t="s">
        <v>293</v>
      </c>
      <c r="F692" s="290"/>
      <c r="G692" s="379"/>
      <c r="H692" s="163"/>
      <c r="J692" s="104"/>
    </row>
    <row r="693" spans="1:10" ht="12.75">
      <c r="A693" s="315" t="s">
        <v>1142</v>
      </c>
      <c r="B693" s="469">
        <v>0</v>
      </c>
      <c r="C693" s="466" t="s">
        <v>506</v>
      </c>
      <c r="D693" s="405" t="s">
        <v>370</v>
      </c>
      <c r="F693" s="290"/>
      <c r="G693" s="379"/>
      <c r="H693" s="402"/>
      <c r="J693" s="104"/>
    </row>
    <row r="694" spans="1:10" ht="12.75">
      <c r="A694" s="315" t="s">
        <v>1142</v>
      </c>
      <c r="B694" s="568">
        <v>0</v>
      </c>
      <c r="C694" s="466" t="s">
        <v>552</v>
      </c>
      <c r="D694" s="405" t="s">
        <v>1016</v>
      </c>
      <c r="F694" s="290"/>
      <c r="G694" s="379"/>
      <c r="H694" s="402"/>
      <c r="J694" s="104"/>
    </row>
    <row r="695" spans="1:10" ht="12.75">
      <c r="A695" s="315" t="s">
        <v>1142</v>
      </c>
      <c r="B695" s="469">
        <v>0</v>
      </c>
      <c r="C695" s="465" t="s">
        <v>523</v>
      </c>
      <c r="D695" s="303" t="s">
        <v>950</v>
      </c>
      <c r="F695" s="290"/>
      <c r="G695" s="379"/>
      <c r="H695" s="163"/>
      <c r="J695" s="104"/>
    </row>
    <row r="696" spans="1:10" ht="12.75">
      <c r="A696" s="315" t="s">
        <v>1142</v>
      </c>
      <c r="B696" s="469">
        <v>0</v>
      </c>
      <c r="C696" s="461" t="s">
        <v>541</v>
      </c>
      <c r="D696" s="354" t="s">
        <v>1127</v>
      </c>
      <c r="F696" s="290"/>
      <c r="G696" s="308"/>
      <c r="H696" s="402"/>
      <c r="J696" s="104"/>
    </row>
    <row r="697" spans="1:10" ht="12.75">
      <c r="A697" s="423" t="s">
        <v>1142</v>
      </c>
      <c r="B697" s="469">
        <v>0</v>
      </c>
      <c r="C697" s="462" t="s">
        <v>612</v>
      </c>
      <c r="D697" s="354" t="s">
        <v>1153</v>
      </c>
      <c r="F697" s="290"/>
      <c r="G697" s="308"/>
      <c r="H697" s="402"/>
      <c r="J697" s="104"/>
    </row>
    <row r="698" spans="1:10" ht="12.75">
      <c r="A698" s="423" t="s">
        <v>1142</v>
      </c>
      <c r="B698" s="469">
        <v>0</v>
      </c>
      <c r="C698" s="462" t="s">
        <v>19</v>
      </c>
      <c r="D698" s="354" t="s">
        <v>1152</v>
      </c>
      <c r="F698" s="290"/>
      <c r="G698" s="308"/>
      <c r="H698" s="402"/>
      <c r="J698" s="104"/>
    </row>
    <row r="699" spans="1:10" ht="12.75">
      <c r="A699" s="315" t="s">
        <v>1142</v>
      </c>
      <c r="B699" s="469">
        <v>0</v>
      </c>
      <c r="C699" s="461" t="s">
        <v>615</v>
      </c>
      <c r="D699" s="229" t="s">
        <v>1123</v>
      </c>
      <c r="F699" s="290"/>
      <c r="G699" s="308"/>
      <c r="H699" s="163"/>
      <c r="J699" s="104"/>
    </row>
    <row r="700" spans="1:10" ht="12.75">
      <c r="A700" s="426" t="s">
        <v>1142</v>
      </c>
      <c r="B700" s="568">
        <v>0</v>
      </c>
      <c r="C700" s="476" t="s">
        <v>556</v>
      </c>
      <c r="D700" s="483" t="s">
        <v>957</v>
      </c>
      <c r="F700" s="290"/>
      <c r="G700" s="308"/>
      <c r="H700" s="163"/>
      <c r="J700" s="104"/>
    </row>
    <row r="701" spans="1:10" ht="12.75">
      <c r="A701" s="302" t="s">
        <v>1142</v>
      </c>
      <c r="B701" s="756">
        <v>0</v>
      </c>
      <c r="C701" s="463" t="s">
        <v>562</v>
      </c>
      <c r="D701" s="299" t="s">
        <v>946</v>
      </c>
      <c r="F701" s="290"/>
      <c r="G701" s="308"/>
      <c r="H701" s="163"/>
      <c r="J701" s="104"/>
    </row>
    <row r="702" spans="1:10" ht="12.75">
      <c r="A702" s="446" t="s">
        <v>1143</v>
      </c>
      <c r="B702" s="469">
        <v>0</v>
      </c>
      <c r="C702" s="692" t="s">
        <v>548</v>
      </c>
      <c r="D702" s="447" t="s">
        <v>941</v>
      </c>
      <c r="F702" s="290"/>
      <c r="G702" s="308"/>
      <c r="H702" s="163"/>
      <c r="J702" s="104"/>
    </row>
    <row r="703" spans="1:10" ht="12.75">
      <c r="A703" s="359" t="s">
        <v>1144</v>
      </c>
      <c r="B703" s="605">
        <v>160</v>
      </c>
      <c r="C703" s="468" t="s">
        <v>608</v>
      </c>
      <c r="D703" s="425" t="s">
        <v>285</v>
      </c>
      <c r="F703" s="290"/>
      <c r="G703" s="308"/>
      <c r="H703" s="383"/>
      <c r="J703" s="104"/>
    </row>
    <row r="704" spans="1:10" ht="12.75">
      <c r="A704" s="302" t="s">
        <v>1145</v>
      </c>
      <c r="B704" s="472">
        <v>0</v>
      </c>
      <c r="C704" s="463" t="s">
        <v>608</v>
      </c>
      <c r="D704" s="425" t="s">
        <v>285</v>
      </c>
      <c r="F704" s="290"/>
      <c r="G704" s="308"/>
      <c r="H704" s="383"/>
      <c r="J704" s="104"/>
    </row>
    <row r="705" spans="1:10" ht="13.5" thickBot="1">
      <c r="A705" s="453" t="s">
        <v>1136</v>
      </c>
      <c r="B705" s="469">
        <v>0</v>
      </c>
      <c r="C705" s="693" t="s">
        <v>548</v>
      </c>
      <c r="D705" s="455" t="s">
        <v>941</v>
      </c>
      <c r="F705" s="290"/>
      <c r="G705" s="308"/>
      <c r="H705" s="163"/>
      <c r="J705" s="104"/>
    </row>
    <row r="706" spans="1:10" ht="13.5" thickBot="1">
      <c r="A706" s="377" t="s">
        <v>358</v>
      </c>
      <c r="B706" s="601">
        <f>SUM(B654:B705)</f>
        <v>13470</v>
      </c>
      <c r="C706" s="320"/>
      <c r="D706" s="321"/>
      <c r="F706" s="290"/>
      <c r="G706" s="308"/>
      <c r="H706" s="163"/>
      <c r="J706" s="104"/>
    </row>
    <row r="707" spans="2:10" ht="12.75">
      <c r="B707" s="238"/>
      <c r="C707" s="308"/>
      <c r="F707" s="290"/>
      <c r="G707" s="308"/>
      <c r="H707" s="163"/>
      <c r="J707" s="104"/>
    </row>
    <row r="708" spans="2:10" ht="12.75">
      <c r="B708" s="238"/>
      <c r="C708" s="308"/>
      <c r="F708" s="290"/>
      <c r="G708" s="308"/>
      <c r="H708" s="163"/>
      <c r="J708" s="104"/>
    </row>
    <row r="709" spans="2:10" ht="12.75">
      <c r="B709" s="238"/>
      <c r="C709" s="308"/>
      <c r="F709" s="290"/>
      <c r="G709" s="308"/>
      <c r="H709" s="163"/>
      <c r="J709" s="104"/>
    </row>
    <row r="710" spans="2:10" ht="12.75">
      <c r="B710" s="238"/>
      <c r="C710" s="308"/>
      <c r="F710" s="290"/>
      <c r="G710" s="308"/>
      <c r="H710" s="163"/>
      <c r="J710" s="104"/>
    </row>
    <row r="711" spans="1:10" ht="19.5" thickBot="1">
      <c r="A711" s="307" t="s">
        <v>1158</v>
      </c>
      <c r="B711" s="238"/>
      <c r="C711" s="308"/>
      <c r="F711" s="290"/>
      <c r="G711" s="308"/>
      <c r="H711" s="163"/>
      <c r="J711" s="104"/>
    </row>
    <row r="712" spans="1:10" ht="12.75">
      <c r="A712" s="292" t="s">
        <v>500</v>
      </c>
      <c r="B712" s="1029" t="s">
        <v>1219</v>
      </c>
      <c r="C712" s="309" t="s">
        <v>502</v>
      </c>
      <c r="D712" s="310" t="s">
        <v>503</v>
      </c>
      <c r="F712" s="114"/>
      <c r="G712" s="388"/>
      <c r="H712" s="389"/>
      <c r="J712" s="104"/>
    </row>
    <row r="713" spans="1:10" ht="13.5" thickBot="1">
      <c r="A713" s="295"/>
      <c r="B713" s="296" t="s">
        <v>695</v>
      </c>
      <c r="C713" s="311" t="s">
        <v>504</v>
      </c>
      <c r="D713" s="312"/>
      <c r="F713" s="240"/>
      <c r="G713" s="240"/>
      <c r="H713" s="240"/>
      <c r="J713" s="104"/>
    </row>
    <row r="714" spans="1:10" ht="14.25">
      <c r="A714" s="406" t="s">
        <v>1146</v>
      </c>
      <c r="B714" s="606">
        <v>0</v>
      </c>
      <c r="C714" s="856" t="s">
        <v>523</v>
      </c>
      <c r="D714" s="864" t="s">
        <v>1147</v>
      </c>
      <c r="F714" s="853"/>
      <c r="G714" s="240"/>
      <c r="J714" s="104"/>
    </row>
    <row r="715" spans="1:10" ht="14.25">
      <c r="A715" s="406" t="s">
        <v>1148</v>
      </c>
      <c r="B715" s="607">
        <v>0</v>
      </c>
      <c r="C715" s="857" t="s">
        <v>604</v>
      </c>
      <c r="D715" s="680" t="s">
        <v>542</v>
      </c>
      <c r="F715" s="853"/>
      <c r="G715" s="240"/>
      <c r="J715" s="104"/>
    </row>
    <row r="716" spans="1:10" ht="14.25">
      <c r="A716" s="406" t="s">
        <v>1248</v>
      </c>
      <c r="B716" s="607">
        <f>8420-4016-236+5695+1872-4168+853</f>
        <v>8420</v>
      </c>
      <c r="C716" s="858" t="s">
        <v>829</v>
      </c>
      <c r="D716" s="865" t="s">
        <v>750</v>
      </c>
      <c r="F716" s="853"/>
      <c r="G716" s="240"/>
      <c r="J716" s="104"/>
    </row>
    <row r="717" spans="1:10" ht="14.25">
      <c r="A717" s="406" t="s">
        <v>299</v>
      </c>
      <c r="B717" s="607">
        <f>53300+892+15170</f>
        <v>69362</v>
      </c>
      <c r="C717" s="857" t="s">
        <v>1149</v>
      </c>
      <c r="D717" s="865" t="s">
        <v>1203</v>
      </c>
      <c r="F717" s="853"/>
      <c r="G717" s="240"/>
      <c r="J717" s="104"/>
    </row>
    <row r="718" spans="1:10" ht="14.25">
      <c r="A718" s="406" t="s">
        <v>828</v>
      </c>
      <c r="B718" s="607">
        <v>3000</v>
      </c>
      <c r="C718" s="858" t="s">
        <v>827</v>
      </c>
      <c r="D718" s="865" t="s">
        <v>1204</v>
      </c>
      <c r="F718" s="853"/>
      <c r="G718" s="240"/>
      <c r="J718" s="104"/>
    </row>
    <row r="719" spans="1:10" ht="14.25">
      <c r="A719" s="406" t="s">
        <v>1150</v>
      </c>
      <c r="B719" s="607">
        <f>500-545+82+463+600</f>
        <v>1100</v>
      </c>
      <c r="C719" s="857" t="s">
        <v>562</v>
      </c>
      <c r="D719" s="865" t="s">
        <v>751</v>
      </c>
      <c r="F719" s="853"/>
      <c r="G719" s="240"/>
      <c r="J719" s="104"/>
    </row>
    <row r="720" spans="1:10" ht="14.25">
      <c r="A720" s="406" t="s">
        <v>1151</v>
      </c>
      <c r="B720" s="607">
        <v>100</v>
      </c>
      <c r="C720" s="857" t="s">
        <v>913</v>
      </c>
      <c r="D720" s="680" t="s">
        <v>1050</v>
      </c>
      <c r="F720" s="853"/>
      <c r="G720" s="240"/>
      <c r="J720" s="104"/>
    </row>
    <row r="721" spans="1:10" ht="14.25">
      <c r="A721" s="406" t="s">
        <v>301</v>
      </c>
      <c r="B721" s="607">
        <v>90</v>
      </c>
      <c r="C721" s="857" t="s">
        <v>1154</v>
      </c>
      <c r="D721" s="680" t="s">
        <v>1051</v>
      </c>
      <c r="F721" s="853"/>
      <c r="G721" s="240"/>
      <c r="J721" s="104"/>
    </row>
    <row r="722" spans="1:10" ht="14.25">
      <c r="A722" s="406" t="s">
        <v>1155</v>
      </c>
      <c r="B722" s="607">
        <v>0</v>
      </c>
      <c r="C722" s="857" t="s">
        <v>929</v>
      </c>
      <c r="D722" s="680" t="s">
        <v>1156</v>
      </c>
      <c r="F722" s="853"/>
      <c r="G722" s="240"/>
      <c r="J722" s="104"/>
    </row>
    <row r="723" spans="1:10" ht="14.25">
      <c r="A723" s="406" t="s">
        <v>1157</v>
      </c>
      <c r="B723" s="607">
        <v>100</v>
      </c>
      <c r="C723" s="857" t="s">
        <v>550</v>
      </c>
      <c r="D723" s="680" t="s">
        <v>1052</v>
      </c>
      <c r="F723" s="853"/>
      <c r="G723" s="240"/>
      <c r="J723" s="104"/>
    </row>
    <row r="724" spans="1:10" ht="14.25">
      <c r="A724" s="406" t="s">
        <v>1167</v>
      </c>
      <c r="B724" s="756">
        <v>345</v>
      </c>
      <c r="C724" s="857" t="s">
        <v>1168</v>
      </c>
      <c r="D724" s="680" t="s">
        <v>1053</v>
      </c>
      <c r="F724" s="853"/>
      <c r="G724" s="240"/>
      <c r="J724" s="104"/>
    </row>
    <row r="725" spans="1:10" ht="14.25">
      <c r="A725" s="406" t="s">
        <v>1169</v>
      </c>
      <c r="B725" s="607">
        <v>0</v>
      </c>
      <c r="C725" s="857" t="s">
        <v>1170</v>
      </c>
      <c r="D725" s="680" t="s">
        <v>1171</v>
      </c>
      <c r="F725" s="853"/>
      <c r="G725" s="240"/>
      <c r="J725" s="104"/>
    </row>
    <row r="726" spans="1:10" ht="14.25">
      <c r="A726" s="406" t="s">
        <v>616</v>
      </c>
      <c r="B726" s="607">
        <v>3</v>
      </c>
      <c r="C726" s="858" t="s">
        <v>617</v>
      </c>
      <c r="D726" s="680" t="s">
        <v>1054</v>
      </c>
      <c r="F726" s="853"/>
      <c r="G726" s="240"/>
      <c r="J726" s="104"/>
    </row>
    <row r="727" spans="1:10" ht="14.25">
      <c r="A727" s="406" t="s">
        <v>619</v>
      </c>
      <c r="B727" s="607">
        <v>0</v>
      </c>
      <c r="C727" s="858" t="s">
        <v>620</v>
      </c>
      <c r="D727" s="680" t="s">
        <v>990</v>
      </c>
      <c r="F727" s="853"/>
      <c r="G727" s="240"/>
      <c r="J727" s="104"/>
    </row>
    <row r="728" spans="1:10" ht="14.25">
      <c r="A728" s="406" t="s">
        <v>1172</v>
      </c>
      <c r="B728" s="607">
        <v>0</v>
      </c>
      <c r="C728" s="857" t="s">
        <v>1173</v>
      </c>
      <c r="D728" s="680" t="s">
        <v>1174</v>
      </c>
      <c r="F728" s="853"/>
      <c r="G728" s="240"/>
      <c r="J728" s="104"/>
    </row>
    <row r="729" spans="1:10" ht="14.25">
      <c r="A729" s="406" t="s">
        <v>390</v>
      </c>
      <c r="B729" s="607">
        <v>0</v>
      </c>
      <c r="C729" s="858" t="s">
        <v>394</v>
      </c>
      <c r="D729" s="680" t="s">
        <v>392</v>
      </c>
      <c r="F729" s="853"/>
      <c r="G729" s="240"/>
      <c r="J729" s="104"/>
    </row>
    <row r="730" spans="1:10" ht="14.25">
      <c r="A730" s="406" t="s">
        <v>447</v>
      </c>
      <c r="B730" s="607">
        <v>0</v>
      </c>
      <c r="C730" s="858" t="s">
        <v>541</v>
      </c>
      <c r="D730" s="865" t="s">
        <v>280</v>
      </c>
      <c r="F730" s="853"/>
      <c r="G730" s="240"/>
      <c r="J730" s="104"/>
    </row>
    <row r="731" spans="1:10" ht="14.25">
      <c r="A731" s="406" t="s">
        <v>395</v>
      </c>
      <c r="B731" s="607">
        <v>0</v>
      </c>
      <c r="C731" s="858" t="s">
        <v>391</v>
      </c>
      <c r="D731" s="680" t="s">
        <v>1161</v>
      </c>
      <c r="F731" s="853"/>
      <c r="G731" s="240"/>
      <c r="J731" s="104"/>
    </row>
    <row r="732" spans="1:10" ht="14.25">
      <c r="A732" s="406" t="s">
        <v>396</v>
      </c>
      <c r="B732" s="607">
        <v>0</v>
      </c>
      <c r="C732" s="858" t="s">
        <v>15</v>
      </c>
      <c r="D732" s="680" t="s">
        <v>1160</v>
      </c>
      <c r="F732" s="853"/>
      <c r="G732" s="240"/>
      <c r="J732" s="104"/>
    </row>
    <row r="733" spans="1:10" ht="14.25">
      <c r="A733" s="406" t="s">
        <v>419</v>
      </c>
      <c r="B733" s="607">
        <v>0</v>
      </c>
      <c r="C733" s="858" t="s">
        <v>393</v>
      </c>
      <c r="D733" s="866" t="s">
        <v>59</v>
      </c>
      <c r="F733" s="853"/>
      <c r="G733" s="240"/>
      <c r="J733" s="104"/>
    </row>
    <row r="734" spans="1:10" ht="14.25">
      <c r="A734" s="406" t="s">
        <v>1175</v>
      </c>
      <c r="B734" s="607">
        <f>200-100+50</f>
        <v>150</v>
      </c>
      <c r="C734" s="857" t="s">
        <v>1176</v>
      </c>
      <c r="D734" s="680" t="s">
        <v>1055</v>
      </c>
      <c r="F734" s="853"/>
      <c r="G734" s="240"/>
      <c r="I734" s="104"/>
      <c r="J734" s="104"/>
    </row>
    <row r="735" spans="1:10" ht="14.25">
      <c r="A735" s="406" t="s">
        <v>1163</v>
      </c>
      <c r="B735" s="607">
        <v>0</v>
      </c>
      <c r="C735" s="857" t="s">
        <v>541</v>
      </c>
      <c r="D735" s="680" t="s">
        <v>1162</v>
      </c>
      <c r="F735" s="854"/>
      <c r="G735" s="240"/>
      <c r="J735" s="104"/>
    </row>
    <row r="736" spans="1:10" ht="14.25">
      <c r="A736" s="406" t="s">
        <v>1177</v>
      </c>
      <c r="B736" s="607">
        <v>60</v>
      </c>
      <c r="C736" s="857" t="s">
        <v>1178</v>
      </c>
      <c r="D736" s="680" t="s">
        <v>1205</v>
      </c>
      <c r="F736" s="854"/>
      <c r="G736" s="240"/>
      <c r="I736" s="104"/>
      <c r="J736" s="104"/>
    </row>
    <row r="737" spans="1:10" ht="14.25">
      <c r="A737" s="406" t="s">
        <v>1179</v>
      </c>
      <c r="B737" s="607">
        <v>0</v>
      </c>
      <c r="C737" s="857" t="s">
        <v>1180</v>
      </c>
      <c r="D737" s="680" t="s">
        <v>1181</v>
      </c>
      <c r="F737" s="853"/>
      <c r="G737" s="240"/>
      <c r="J737" s="104"/>
    </row>
    <row r="738" spans="1:10" ht="14.25">
      <c r="A738" s="406" t="s">
        <v>1182</v>
      </c>
      <c r="B738" s="607">
        <v>0</v>
      </c>
      <c r="C738" s="857" t="s">
        <v>1183</v>
      </c>
      <c r="D738" s="680" t="s">
        <v>1184</v>
      </c>
      <c r="F738" s="853"/>
      <c r="G738" s="240"/>
      <c r="I738" s="104"/>
      <c r="J738" s="104"/>
    </row>
    <row r="739" spans="1:10" ht="14.25">
      <c r="A739" s="406" t="s">
        <v>401</v>
      </c>
      <c r="B739" s="607">
        <v>0</v>
      </c>
      <c r="C739" s="858" t="s">
        <v>402</v>
      </c>
      <c r="D739" s="680" t="s">
        <v>403</v>
      </c>
      <c r="F739" s="853"/>
      <c r="G739" s="240"/>
      <c r="I739" s="104"/>
      <c r="J739" s="104"/>
    </row>
    <row r="740" spans="1:10" ht="14.25">
      <c r="A740" s="495" t="s">
        <v>309</v>
      </c>
      <c r="B740" s="607">
        <v>0</v>
      </c>
      <c r="C740" s="858" t="s">
        <v>307</v>
      </c>
      <c r="D740" s="680" t="s">
        <v>308</v>
      </c>
      <c r="F740" s="853"/>
      <c r="G740" s="240"/>
      <c r="I740" s="104"/>
      <c r="J740" s="104"/>
    </row>
    <row r="741" spans="1:10" ht="14.25">
      <c r="A741" s="495" t="s">
        <v>311</v>
      </c>
      <c r="B741" s="607">
        <v>0</v>
      </c>
      <c r="C741" s="858" t="s">
        <v>312</v>
      </c>
      <c r="D741" s="680" t="s">
        <v>313</v>
      </c>
      <c r="F741" s="853"/>
      <c r="G741" s="240"/>
      <c r="I741" s="104"/>
      <c r="J741" s="104"/>
    </row>
    <row r="742" spans="1:10" ht="14.25">
      <c r="A742" s="406" t="s">
        <v>491</v>
      </c>
      <c r="B742" s="607">
        <v>0</v>
      </c>
      <c r="C742" s="858" t="s">
        <v>558</v>
      </c>
      <c r="D742" s="680" t="s">
        <v>1056</v>
      </c>
      <c r="F742" s="853"/>
      <c r="G742" s="240"/>
      <c r="J742" s="104"/>
    </row>
    <row r="743" spans="1:10" ht="14.25">
      <c r="A743" s="406" t="s">
        <v>1185</v>
      </c>
      <c r="B743" s="607">
        <v>700</v>
      </c>
      <c r="C743" s="857" t="s">
        <v>558</v>
      </c>
      <c r="D743" s="680" t="s">
        <v>752</v>
      </c>
      <c r="F743" s="853"/>
      <c r="G743" s="240"/>
      <c r="J743" s="104"/>
    </row>
    <row r="744" spans="1:10" ht="14.25">
      <c r="A744" s="406" t="s">
        <v>1186</v>
      </c>
      <c r="B744" s="607">
        <v>0</v>
      </c>
      <c r="C744" s="857" t="s">
        <v>562</v>
      </c>
      <c r="D744" s="680" t="s">
        <v>443</v>
      </c>
      <c r="F744" s="853"/>
      <c r="G744" s="240"/>
      <c r="J744" s="104"/>
    </row>
    <row r="745" spans="1:10" ht="14.25">
      <c r="A745" s="406" t="s">
        <v>302</v>
      </c>
      <c r="B745" s="607">
        <v>1100</v>
      </c>
      <c r="C745" s="857" t="s">
        <v>554</v>
      </c>
      <c r="D745" s="680" t="s">
        <v>1057</v>
      </c>
      <c r="F745" s="853"/>
      <c r="G745" s="240"/>
      <c r="J745" s="104"/>
    </row>
    <row r="746" spans="1:10" ht="14.25">
      <c r="A746" s="406" t="s">
        <v>1187</v>
      </c>
      <c r="B746" s="607">
        <v>0</v>
      </c>
      <c r="C746" s="857" t="s">
        <v>510</v>
      </c>
      <c r="D746" s="680" t="s">
        <v>1188</v>
      </c>
      <c r="F746" s="853"/>
      <c r="G746" s="240"/>
      <c r="J746" s="104"/>
    </row>
    <row r="747" spans="1:10" ht="14.25">
      <c r="A747" s="406" t="s">
        <v>1189</v>
      </c>
      <c r="B747" s="607">
        <v>0</v>
      </c>
      <c r="C747" s="857" t="s">
        <v>847</v>
      </c>
      <c r="D747" s="680" t="s">
        <v>0</v>
      </c>
      <c r="F747" s="855"/>
      <c r="G747" s="240"/>
      <c r="J747" s="104"/>
    </row>
    <row r="748" spans="1:10" ht="14.25">
      <c r="A748" s="406" t="s">
        <v>1079</v>
      </c>
      <c r="B748" s="607">
        <v>0</v>
      </c>
      <c r="C748" s="858" t="s">
        <v>832</v>
      </c>
      <c r="D748" s="680" t="s">
        <v>1078</v>
      </c>
      <c r="F748" s="855"/>
      <c r="G748" s="240"/>
      <c r="J748" s="104"/>
    </row>
    <row r="749" spans="1:10" ht="12.75">
      <c r="A749" s="406" t="s">
        <v>300</v>
      </c>
      <c r="B749" s="607">
        <v>0</v>
      </c>
      <c r="C749" s="859" t="s">
        <v>1159</v>
      </c>
      <c r="D749" s="865" t="s">
        <v>279</v>
      </c>
      <c r="F749" s="240"/>
      <c r="G749" s="240"/>
      <c r="J749" s="104"/>
    </row>
    <row r="750" spans="1:10" ht="12.75">
      <c r="A750" s="406" t="s">
        <v>834</v>
      </c>
      <c r="B750" s="607">
        <v>0</v>
      </c>
      <c r="C750" s="859" t="s">
        <v>833</v>
      </c>
      <c r="D750" s="865" t="s">
        <v>1058</v>
      </c>
      <c r="F750" s="240"/>
      <c r="G750" s="240"/>
      <c r="J750" s="104"/>
    </row>
    <row r="751" spans="1:10" ht="12.75">
      <c r="A751" s="406" t="s">
        <v>1</v>
      </c>
      <c r="B751" s="607">
        <v>0</v>
      </c>
      <c r="C751" s="857" t="s">
        <v>526</v>
      </c>
      <c r="D751" s="680" t="s">
        <v>2</v>
      </c>
      <c r="F751" s="240"/>
      <c r="G751" s="240"/>
      <c r="J751" s="104"/>
    </row>
    <row r="752" spans="1:10" ht="12.75">
      <c r="A752" s="406" t="s">
        <v>3</v>
      </c>
      <c r="B752" s="607">
        <v>0</v>
      </c>
      <c r="C752" s="857" t="s">
        <v>4</v>
      </c>
      <c r="D752" s="680" t="s">
        <v>5</v>
      </c>
      <c r="F752" s="240"/>
      <c r="G752" s="240"/>
      <c r="J752" s="104"/>
    </row>
    <row r="753" spans="1:10" ht="12.75">
      <c r="A753" s="406" t="s">
        <v>6</v>
      </c>
      <c r="B753" s="607">
        <v>0</v>
      </c>
      <c r="C753" s="857" t="s">
        <v>7</v>
      </c>
      <c r="D753" s="680" t="s">
        <v>8</v>
      </c>
      <c r="F753" s="240"/>
      <c r="G753" s="240"/>
      <c r="J753" s="104"/>
    </row>
    <row r="754" spans="1:10" ht="12.75">
      <c r="A754" s="406" t="s">
        <v>9</v>
      </c>
      <c r="B754" s="607">
        <v>0</v>
      </c>
      <c r="C754" s="857" t="s">
        <v>10</v>
      </c>
      <c r="D754" s="680" t="s">
        <v>11</v>
      </c>
      <c r="F754" s="240"/>
      <c r="G754" s="240"/>
      <c r="J754" s="104"/>
    </row>
    <row r="755" spans="1:10" ht="12.75">
      <c r="A755" s="406" t="s">
        <v>12</v>
      </c>
      <c r="B755" s="607">
        <v>0</v>
      </c>
      <c r="C755" s="857" t="s">
        <v>869</v>
      </c>
      <c r="D755" s="680" t="s">
        <v>13</v>
      </c>
      <c r="F755" s="240"/>
      <c r="G755" s="240"/>
      <c r="J755" s="104"/>
    </row>
    <row r="756" spans="1:10" ht="12.75">
      <c r="A756" s="406" t="s">
        <v>14</v>
      </c>
      <c r="B756" s="607">
        <v>0</v>
      </c>
      <c r="C756" s="857" t="s">
        <v>523</v>
      </c>
      <c r="D756" s="680" t="s">
        <v>424</v>
      </c>
      <c r="J756" s="104"/>
    </row>
    <row r="757" spans="1:10" ht="12.75">
      <c r="A757" s="406" t="s">
        <v>448</v>
      </c>
      <c r="B757" s="607">
        <v>0</v>
      </c>
      <c r="C757" s="858" t="s">
        <v>449</v>
      </c>
      <c r="D757" s="680" t="s">
        <v>450</v>
      </c>
      <c r="J757" s="104"/>
    </row>
    <row r="758" spans="1:10" ht="12.75">
      <c r="A758" s="406" t="s">
        <v>451</v>
      </c>
      <c r="B758" s="607">
        <v>0</v>
      </c>
      <c r="C758" s="858" t="s">
        <v>452</v>
      </c>
      <c r="D758" s="867" t="s">
        <v>1059</v>
      </c>
      <c r="J758" s="104"/>
    </row>
    <row r="759" spans="1:10" ht="12.75">
      <c r="A759" s="406" t="s">
        <v>404</v>
      </c>
      <c r="B759" s="607">
        <v>0</v>
      </c>
      <c r="C759" s="858" t="s">
        <v>1091</v>
      </c>
      <c r="D759" s="680" t="s">
        <v>405</v>
      </c>
      <c r="J759" s="104"/>
    </row>
    <row r="760" spans="1:10" ht="12.75">
      <c r="A760" s="406" t="s">
        <v>399</v>
      </c>
      <c r="B760" s="607">
        <v>0</v>
      </c>
      <c r="C760" s="858" t="s">
        <v>400</v>
      </c>
      <c r="D760" s="680" t="s">
        <v>406</v>
      </c>
      <c r="J760" s="104"/>
    </row>
    <row r="761" spans="1:10" ht="12.75">
      <c r="A761" s="406" t="s">
        <v>544</v>
      </c>
      <c r="B761" s="607">
        <v>0</v>
      </c>
      <c r="C761" s="858" t="s">
        <v>19</v>
      </c>
      <c r="D761" s="680" t="s">
        <v>543</v>
      </c>
      <c r="J761" s="104"/>
    </row>
    <row r="762" spans="1:10" ht="12.75">
      <c r="A762" s="406" t="s">
        <v>398</v>
      </c>
      <c r="B762" s="607">
        <v>0</v>
      </c>
      <c r="C762" s="858" t="s">
        <v>397</v>
      </c>
      <c r="D762" s="680" t="s">
        <v>16</v>
      </c>
      <c r="J762" s="104"/>
    </row>
    <row r="763" spans="1:10" ht="12.75">
      <c r="A763" s="406" t="s">
        <v>453</v>
      </c>
      <c r="B763" s="607">
        <v>0</v>
      </c>
      <c r="C763" s="858" t="s">
        <v>541</v>
      </c>
      <c r="D763" s="680" t="s">
        <v>454</v>
      </c>
      <c r="J763" s="104"/>
    </row>
    <row r="764" spans="1:10" ht="12.75">
      <c r="A764" s="406" t="s">
        <v>277</v>
      </c>
      <c r="B764" s="607">
        <f>100+100</f>
        <v>200</v>
      </c>
      <c r="C764" s="858" t="s">
        <v>879</v>
      </c>
      <c r="D764" s="680" t="s">
        <v>1060</v>
      </c>
      <c r="J764" s="104"/>
    </row>
    <row r="765" spans="1:10" ht="12.75">
      <c r="A765" s="495" t="s">
        <v>1017</v>
      </c>
      <c r="B765" s="607">
        <v>0</v>
      </c>
      <c r="C765" s="858" t="s">
        <v>835</v>
      </c>
      <c r="D765" s="865" t="s">
        <v>1061</v>
      </c>
      <c r="J765" s="104"/>
    </row>
    <row r="766" spans="1:10" ht="12.75">
      <c r="A766" s="406" t="s">
        <v>621</v>
      </c>
      <c r="B766" s="607">
        <v>0</v>
      </c>
      <c r="C766" s="858" t="s">
        <v>564</v>
      </c>
      <c r="D766" s="680" t="s">
        <v>740</v>
      </c>
      <c r="J766" s="104"/>
    </row>
    <row r="767" spans="1:10" ht="12.75">
      <c r="A767" s="406" t="s">
        <v>223</v>
      </c>
      <c r="B767" s="607">
        <v>0</v>
      </c>
      <c r="C767" s="858" t="s">
        <v>7</v>
      </c>
      <c r="D767" s="680" t="s">
        <v>224</v>
      </c>
      <c r="J767" s="104"/>
    </row>
    <row r="768" spans="1:10" ht="12.75">
      <c r="A768" s="406" t="s">
        <v>225</v>
      </c>
      <c r="B768" s="607">
        <v>0</v>
      </c>
      <c r="C768" s="858" t="s">
        <v>397</v>
      </c>
      <c r="D768" s="680" t="s">
        <v>226</v>
      </c>
      <c r="J768" s="104"/>
    </row>
    <row r="769" spans="1:10" ht="12.75">
      <c r="A769" s="406" t="s">
        <v>227</v>
      </c>
      <c r="B769" s="607">
        <v>0</v>
      </c>
      <c r="C769" s="858" t="s">
        <v>510</v>
      </c>
      <c r="D769" s="680" t="s">
        <v>1062</v>
      </c>
      <c r="J769" s="104"/>
    </row>
    <row r="770" spans="1:10" ht="12.75">
      <c r="A770" s="406" t="s">
        <v>228</v>
      </c>
      <c r="B770" s="607">
        <v>0</v>
      </c>
      <c r="C770" s="858" t="s">
        <v>394</v>
      </c>
      <c r="D770" s="680" t="s">
        <v>1063</v>
      </c>
      <c r="J770" s="104"/>
    </row>
    <row r="771" spans="1:10" ht="12.75">
      <c r="A771" s="406" t="s">
        <v>830</v>
      </c>
      <c r="B771" s="607">
        <v>0</v>
      </c>
      <c r="C771" s="858" t="s">
        <v>831</v>
      </c>
      <c r="D771" s="865" t="s">
        <v>1064</v>
      </c>
      <c r="J771" s="104"/>
    </row>
    <row r="772" spans="1:10" ht="12.75">
      <c r="A772" s="495" t="s">
        <v>448</v>
      </c>
      <c r="B772" s="607">
        <v>0</v>
      </c>
      <c r="C772" s="859" t="s">
        <v>449</v>
      </c>
      <c r="D772" s="865" t="s">
        <v>229</v>
      </c>
      <c r="E772" s="240"/>
      <c r="J772" s="104"/>
    </row>
    <row r="773" spans="1:10" ht="12.75">
      <c r="A773" s="735" t="s">
        <v>493</v>
      </c>
      <c r="B773" s="568">
        <v>260</v>
      </c>
      <c r="C773" s="860" t="s">
        <v>851</v>
      </c>
      <c r="D773" s="865" t="s">
        <v>1065</v>
      </c>
      <c r="E773" s="240"/>
      <c r="J773" s="104"/>
    </row>
    <row r="774" spans="1:10" ht="12.75">
      <c r="A774" s="1036" t="s">
        <v>1250</v>
      </c>
      <c r="B774" s="756">
        <v>24</v>
      </c>
      <c r="C774" s="861" t="s">
        <v>1249</v>
      </c>
      <c r="D774" s="865" t="s">
        <v>1255</v>
      </c>
      <c r="E774" s="240"/>
      <c r="J774" s="104"/>
    </row>
    <row r="775" spans="1:10" ht="12.75">
      <c r="A775" s="755" t="s">
        <v>917</v>
      </c>
      <c r="B775" s="756">
        <v>0</v>
      </c>
      <c r="C775" s="861" t="s">
        <v>918</v>
      </c>
      <c r="D775" s="744" t="s">
        <v>1066</v>
      </c>
      <c r="E775" s="240"/>
      <c r="J775" s="104"/>
    </row>
    <row r="776" spans="1:10" ht="12.75">
      <c r="A776" s="755" t="s">
        <v>1077</v>
      </c>
      <c r="B776" s="756">
        <v>120</v>
      </c>
      <c r="C776" s="861" t="s">
        <v>1076</v>
      </c>
      <c r="D776" s="744" t="s">
        <v>1049</v>
      </c>
      <c r="E776" s="240"/>
      <c r="J776" s="104"/>
    </row>
    <row r="777" spans="1:10" ht="12.75">
      <c r="A777" s="755" t="s">
        <v>399</v>
      </c>
      <c r="B777" s="756">
        <v>200</v>
      </c>
      <c r="C777" s="861" t="s">
        <v>400</v>
      </c>
      <c r="D777" s="865" t="s">
        <v>1206</v>
      </c>
      <c r="G777" s="104"/>
      <c r="J777" s="104"/>
    </row>
    <row r="778" spans="1:10" ht="12.75">
      <c r="A778" s="755" t="s">
        <v>756</v>
      </c>
      <c r="B778" s="756">
        <v>400</v>
      </c>
      <c r="C778" s="861" t="s">
        <v>1173</v>
      </c>
      <c r="D778" s="865" t="s">
        <v>1207</v>
      </c>
      <c r="G778" s="104"/>
      <c r="J778" s="104"/>
    </row>
    <row r="779" spans="1:10" ht="12.75">
      <c r="A779" s="755" t="s">
        <v>768</v>
      </c>
      <c r="B779" s="756">
        <f>220-5</f>
        <v>215</v>
      </c>
      <c r="C779" s="861" t="s">
        <v>769</v>
      </c>
      <c r="D779" s="865" t="s">
        <v>770</v>
      </c>
      <c r="G779" s="104"/>
      <c r="J779" s="104"/>
    </row>
    <row r="780" spans="1:10" ht="12.75">
      <c r="A780" s="755" t="s">
        <v>757</v>
      </c>
      <c r="B780" s="756">
        <f>530+20+110</f>
        <v>660</v>
      </c>
      <c r="C780" s="861" t="s">
        <v>889</v>
      </c>
      <c r="D780" s="865" t="s">
        <v>1267</v>
      </c>
      <c r="G780" s="104"/>
      <c r="J780" s="104"/>
    </row>
    <row r="781" spans="1:10" ht="20.25" customHeight="1">
      <c r="A781" s="755" t="s">
        <v>758</v>
      </c>
      <c r="B781" s="756">
        <v>550</v>
      </c>
      <c r="C781" s="861" t="s">
        <v>610</v>
      </c>
      <c r="D781" s="1040" t="s">
        <v>1279</v>
      </c>
      <c r="J781" s="104"/>
    </row>
    <row r="782" spans="1:10" ht="12.75">
      <c r="A782" s="755" t="s">
        <v>762</v>
      </c>
      <c r="B782" s="756">
        <f>395+5</f>
        <v>400</v>
      </c>
      <c r="C782" s="861" t="s">
        <v>761</v>
      </c>
      <c r="D782" s="865" t="s">
        <v>763</v>
      </c>
      <c r="J782" s="104"/>
    </row>
    <row r="783" spans="1:10" ht="12.75">
      <c r="A783" s="755" t="s">
        <v>1210</v>
      </c>
      <c r="B783" s="756">
        <v>350</v>
      </c>
      <c r="C783" s="861" t="s">
        <v>1211</v>
      </c>
      <c r="D783" s="865" t="s">
        <v>1212</v>
      </c>
      <c r="J783" s="104"/>
    </row>
    <row r="784" spans="1:10" ht="12.75">
      <c r="A784" s="755" t="s">
        <v>759</v>
      </c>
      <c r="B784" s="756">
        <v>2978</v>
      </c>
      <c r="C784" s="861" t="s">
        <v>760</v>
      </c>
      <c r="D784" s="865" t="s">
        <v>1217</v>
      </c>
      <c r="J784" s="104"/>
    </row>
    <row r="785" spans="1:10" ht="12.75">
      <c r="A785" s="755" t="s">
        <v>1253</v>
      </c>
      <c r="B785" s="756">
        <v>2951</v>
      </c>
      <c r="C785" s="861" t="s">
        <v>1251</v>
      </c>
      <c r="D785" s="865" t="s">
        <v>1254</v>
      </c>
      <c r="J785" s="104"/>
    </row>
    <row r="786" spans="1:10" ht="12.75">
      <c r="A786" s="406" t="s">
        <v>17</v>
      </c>
      <c r="B786" s="607">
        <f>883+260-24-20+5-110-600-46</f>
        <v>348</v>
      </c>
      <c r="C786" s="857" t="s">
        <v>516</v>
      </c>
      <c r="D786" s="865" t="s">
        <v>1067</v>
      </c>
      <c r="J786" s="104"/>
    </row>
    <row r="787" spans="1:10" ht="12.75">
      <c r="A787" s="406" t="s">
        <v>17</v>
      </c>
      <c r="B787" s="607">
        <f>3444-295-5</f>
        <v>3144</v>
      </c>
      <c r="C787" s="862" t="s">
        <v>1087</v>
      </c>
      <c r="D787" s="868" t="s">
        <v>1068</v>
      </c>
      <c r="J787" s="104"/>
    </row>
    <row r="788" spans="1:10" ht="13.5" thickBot="1">
      <c r="A788" s="407" t="s">
        <v>18</v>
      </c>
      <c r="B788" s="608">
        <v>6599</v>
      </c>
      <c r="C788" s="863" t="s">
        <v>19</v>
      </c>
      <c r="D788" s="408" t="s">
        <v>1190</v>
      </c>
      <c r="J788" s="104"/>
    </row>
    <row r="789" spans="1:10" ht="13.5" thickBot="1">
      <c r="A789" s="305" t="s">
        <v>358</v>
      </c>
      <c r="B789" s="570">
        <f>SUM(B714:B788)</f>
        <v>103929</v>
      </c>
      <c r="C789" s="456"/>
      <c r="D789" s="571"/>
      <c r="J789" s="104"/>
    </row>
    <row r="790" spans="1:22" ht="12.75">
      <c r="A790" s="352"/>
      <c r="B790" s="114"/>
      <c r="C790" s="378"/>
      <c r="D790" s="163"/>
      <c r="E790" s="163"/>
      <c r="F790" s="163"/>
      <c r="G790" s="163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3"/>
    </row>
    <row r="791" spans="1:22" ht="12.75">
      <c r="A791" s="352"/>
      <c r="B791" s="114"/>
      <c r="C791" s="378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  <c r="T791" s="163"/>
      <c r="U791" s="163"/>
      <c r="V791" s="163"/>
    </row>
    <row r="792" spans="1:22" ht="12.75">
      <c r="A792" s="352"/>
      <c r="B792" s="114"/>
      <c r="C792" s="378"/>
      <c r="D792" s="163"/>
      <c r="E792" s="163"/>
      <c r="F792" s="163"/>
      <c r="G792" s="163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  <c r="T792" s="163"/>
      <c r="U792" s="163"/>
      <c r="V792" s="163"/>
    </row>
    <row r="793" spans="1:22" ht="12.75">
      <c r="A793" s="352"/>
      <c r="B793" s="378"/>
      <c r="C793" s="378"/>
      <c r="D793" s="163"/>
      <c r="E793" s="163"/>
      <c r="F793" s="163"/>
      <c r="G793" s="163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  <c r="T793" s="163"/>
      <c r="U793" s="163"/>
      <c r="V793" s="163"/>
    </row>
    <row r="794" spans="1:22" ht="12.75">
      <c r="A794" s="352"/>
      <c r="B794" s="378"/>
      <c r="C794" s="378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</row>
    <row r="795" spans="1:22" ht="12.75">
      <c r="A795" s="352"/>
      <c r="B795" s="378"/>
      <c r="C795" s="378"/>
      <c r="D795" s="163"/>
      <c r="E795" s="163"/>
      <c r="F795" s="163"/>
      <c r="G795" s="163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  <c r="T795" s="163"/>
      <c r="U795" s="163"/>
      <c r="V795" s="163"/>
    </row>
    <row r="796" spans="1:22" ht="12.75">
      <c r="A796" s="352"/>
      <c r="B796" s="378"/>
      <c r="C796" s="378"/>
      <c r="D796" s="163"/>
      <c r="E796" s="163"/>
      <c r="F796" s="163"/>
      <c r="G796" s="163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  <c r="T796" s="163"/>
      <c r="U796" s="163"/>
      <c r="V796" s="163"/>
    </row>
    <row r="797" spans="1:22" ht="12.75">
      <c r="A797" s="352"/>
      <c r="B797" s="378"/>
      <c r="C797" s="378"/>
      <c r="D797" s="163"/>
      <c r="E797" s="163"/>
      <c r="F797" s="163"/>
      <c r="G797" s="163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  <c r="T797" s="163"/>
      <c r="U797" s="163"/>
      <c r="V797" s="163"/>
    </row>
    <row r="798" spans="1:22" ht="12.75">
      <c r="A798" s="352"/>
      <c r="B798" s="378"/>
      <c r="C798" s="378"/>
      <c r="D798" s="163"/>
      <c r="E798" s="163"/>
      <c r="F798" s="163"/>
      <c r="G798" s="163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  <c r="T798" s="163"/>
      <c r="U798" s="163"/>
      <c r="V798" s="163"/>
    </row>
    <row r="799" spans="1:22" ht="12.75">
      <c r="A799" s="352"/>
      <c r="B799" s="378"/>
      <c r="C799" s="378"/>
      <c r="D799" s="163"/>
      <c r="E799" s="163"/>
      <c r="F799" s="163"/>
      <c r="G799" s="163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  <c r="T799" s="163"/>
      <c r="U799" s="163"/>
      <c r="V799" s="163"/>
    </row>
    <row r="800" spans="1:22" ht="12.75">
      <c r="A800" s="352"/>
      <c r="B800" s="378"/>
      <c r="C800" s="378"/>
      <c r="D800" s="163"/>
      <c r="E800" s="163"/>
      <c r="F800" s="163"/>
      <c r="G800" s="163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3"/>
    </row>
    <row r="801" spans="1:22" ht="12.75">
      <c r="A801" s="352"/>
      <c r="B801" s="378"/>
      <c r="C801" s="378"/>
      <c r="D801" s="163"/>
      <c r="E801" s="163"/>
      <c r="F801" s="163"/>
      <c r="G801" s="163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3"/>
      <c r="S801" s="163"/>
      <c r="T801" s="163"/>
      <c r="U801" s="163"/>
      <c r="V801" s="163"/>
    </row>
    <row r="802" spans="1:22" ht="12.75">
      <c r="A802" s="352"/>
      <c r="B802" s="378"/>
      <c r="C802" s="378"/>
      <c r="D802" s="163"/>
      <c r="E802" s="163"/>
      <c r="F802" s="163"/>
      <c r="G802" s="163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3"/>
      <c r="S802" s="163"/>
      <c r="T802" s="163"/>
      <c r="U802" s="163"/>
      <c r="V802" s="163"/>
    </row>
    <row r="803" spans="1:22" ht="12.75">
      <c r="A803" s="352"/>
      <c r="B803" s="378"/>
      <c r="C803" s="378"/>
      <c r="D803" s="163"/>
      <c r="E803" s="163"/>
      <c r="F803" s="163"/>
      <c r="G803" s="163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3"/>
      <c r="S803" s="163"/>
      <c r="T803" s="163"/>
      <c r="U803" s="163"/>
      <c r="V803" s="163"/>
    </row>
    <row r="804" spans="1:22" ht="12.75">
      <c r="A804" s="352"/>
      <c r="B804" s="378"/>
      <c r="C804" s="378"/>
      <c r="D804" s="163"/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3"/>
      <c r="S804" s="163"/>
      <c r="T804" s="163"/>
      <c r="U804" s="163"/>
      <c r="V804" s="163"/>
    </row>
    <row r="805" spans="1:22" ht="12.75">
      <c r="A805" s="352"/>
      <c r="B805" s="378"/>
      <c r="C805" s="378"/>
      <c r="D805" s="163"/>
      <c r="E805" s="163"/>
      <c r="F805" s="163"/>
      <c r="G805" s="163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3"/>
      <c r="S805" s="163"/>
      <c r="T805" s="163"/>
      <c r="U805" s="163"/>
      <c r="V805" s="163"/>
    </row>
    <row r="806" spans="1:22" ht="12.75">
      <c r="A806" s="352"/>
      <c r="B806" s="378"/>
      <c r="C806" s="378"/>
      <c r="D806" s="163"/>
      <c r="E806" s="163"/>
      <c r="F806" s="163"/>
      <c r="G806" s="163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3"/>
      <c r="S806" s="163"/>
      <c r="T806" s="163"/>
      <c r="U806" s="163"/>
      <c r="V806" s="163"/>
    </row>
    <row r="807" spans="1:22" ht="12.75">
      <c r="A807" s="352"/>
      <c r="B807" s="378"/>
      <c r="C807" s="378"/>
      <c r="D807" s="163"/>
      <c r="E807" s="163"/>
      <c r="F807" s="163"/>
      <c r="G807" s="163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3"/>
      <c r="S807" s="163"/>
      <c r="T807" s="163"/>
      <c r="U807" s="163"/>
      <c r="V807" s="163"/>
    </row>
    <row r="808" spans="1:22" ht="12.75">
      <c r="A808" s="352"/>
      <c r="B808" s="378"/>
      <c r="C808" s="378"/>
      <c r="D808" s="163"/>
      <c r="E808" s="163"/>
      <c r="F808" s="163"/>
      <c r="G808" s="163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  <c r="T808" s="163"/>
      <c r="U808" s="163"/>
      <c r="V808" s="163"/>
    </row>
    <row r="809" spans="1:22" ht="12.75">
      <c r="A809" s="352"/>
      <c r="B809" s="378"/>
      <c r="C809" s="378"/>
      <c r="D809" s="163"/>
      <c r="E809" s="163"/>
      <c r="F809" s="163"/>
      <c r="G809" s="163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3"/>
      <c r="S809" s="163"/>
      <c r="T809" s="163"/>
      <c r="U809" s="163"/>
      <c r="V809" s="163"/>
    </row>
    <row r="810" spans="1:22" ht="12.75">
      <c r="A810" s="352"/>
      <c r="B810" s="378"/>
      <c r="C810" s="378"/>
      <c r="D810" s="163"/>
      <c r="E810" s="163"/>
      <c r="F810" s="163"/>
      <c r="G810" s="163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3"/>
      <c r="S810" s="163"/>
      <c r="T810" s="163"/>
      <c r="U810" s="163"/>
      <c r="V810" s="163"/>
    </row>
    <row r="811" spans="1:22" ht="12.75">
      <c r="A811" s="352"/>
      <c r="B811" s="378"/>
      <c r="C811" s="378"/>
      <c r="D811" s="163"/>
      <c r="E811" s="163"/>
      <c r="F811" s="163"/>
      <c r="G811" s="163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3"/>
      <c r="S811" s="163"/>
      <c r="T811" s="163"/>
      <c r="U811" s="163"/>
      <c r="V811" s="163"/>
    </row>
    <row r="812" spans="1:22" ht="12.75">
      <c r="A812" s="352"/>
      <c r="B812" s="378"/>
      <c r="C812" s="378"/>
      <c r="D812" s="163"/>
      <c r="E812" s="163"/>
      <c r="F812" s="163"/>
      <c r="G812" s="163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3"/>
      <c r="S812" s="163"/>
      <c r="T812" s="163"/>
      <c r="U812" s="163"/>
      <c r="V812" s="163"/>
    </row>
    <row r="813" spans="1:22" ht="12.75">
      <c r="A813" s="352"/>
      <c r="B813" s="378"/>
      <c r="C813" s="378"/>
      <c r="D813" s="163"/>
      <c r="E813" s="163"/>
      <c r="F813" s="163"/>
      <c r="G813" s="163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3"/>
      <c r="S813" s="163"/>
      <c r="T813" s="163"/>
      <c r="U813" s="163"/>
      <c r="V813" s="163"/>
    </row>
    <row r="814" spans="1:22" ht="12.75">
      <c r="A814" s="352"/>
      <c r="B814" s="378"/>
      <c r="C814" s="378"/>
      <c r="D814" s="163"/>
      <c r="E814" s="163"/>
      <c r="F814" s="163"/>
      <c r="G814" s="163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3"/>
      <c r="S814" s="163"/>
      <c r="T814" s="163"/>
      <c r="U814" s="163"/>
      <c r="V814" s="163"/>
    </row>
    <row r="815" spans="1:22" ht="12.75">
      <c r="A815" s="352"/>
      <c r="B815" s="378"/>
      <c r="C815" s="378"/>
      <c r="D815" s="163"/>
      <c r="E815" s="163"/>
      <c r="F815" s="163"/>
      <c r="G815" s="163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3"/>
      <c r="S815" s="163"/>
      <c r="T815" s="163"/>
      <c r="U815" s="163"/>
      <c r="V815" s="163"/>
    </row>
    <row r="816" spans="1:22" ht="12.75">
      <c r="A816" s="352"/>
      <c r="B816" s="378"/>
      <c r="C816" s="378"/>
      <c r="D816" s="163"/>
      <c r="E816" s="163"/>
      <c r="F816" s="163"/>
      <c r="G816" s="163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3"/>
      <c r="S816" s="163"/>
      <c r="T816" s="163"/>
      <c r="U816" s="163"/>
      <c r="V816" s="163"/>
    </row>
    <row r="817" spans="1:22" ht="12.75">
      <c r="A817" s="352"/>
      <c r="B817" s="378"/>
      <c r="C817" s="378"/>
      <c r="D817" s="163"/>
      <c r="E817" s="163"/>
      <c r="F817" s="163"/>
      <c r="G817" s="163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  <c r="T817" s="163"/>
      <c r="U817" s="163"/>
      <c r="V817" s="163"/>
    </row>
    <row r="818" spans="1:22" ht="12.75">
      <c r="A818" s="352"/>
      <c r="B818" s="378"/>
      <c r="C818" s="378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  <c r="T818" s="163"/>
      <c r="U818" s="163"/>
      <c r="V818" s="163"/>
    </row>
    <row r="819" spans="1:22" ht="12.75">
      <c r="A819" s="352"/>
      <c r="B819" s="378"/>
      <c r="C819" s="378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  <c r="T819" s="163"/>
      <c r="U819" s="163"/>
      <c r="V819" s="163"/>
    </row>
    <row r="820" spans="1:22" ht="12.75">
      <c r="A820" s="352"/>
      <c r="B820" s="378"/>
      <c r="C820" s="378"/>
      <c r="D820" s="163"/>
      <c r="E820" s="163"/>
      <c r="F820" s="163"/>
      <c r="G820" s="163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  <c r="T820" s="163"/>
      <c r="U820" s="163"/>
      <c r="V820" s="163"/>
    </row>
    <row r="821" spans="1:22" ht="12.75">
      <c r="A821" s="352"/>
      <c r="B821" s="378"/>
      <c r="C821" s="378"/>
      <c r="D821" s="163"/>
      <c r="E821" s="163"/>
      <c r="F821" s="163"/>
      <c r="G821" s="163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  <c r="T821" s="163"/>
      <c r="U821" s="163"/>
      <c r="V821" s="163"/>
    </row>
    <row r="822" spans="1:22" ht="12.75">
      <c r="A822" s="352"/>
      <c r="B822" s="378"/>
      <c r="C822" s="378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  <c r="T822" s="163"/>
      <c r="U822" s="163"/>
      <c r="V822" s="163"/>
    </row>
    <row r="823" spans="1:22" ht="12.75">
      <c r="A823" s="352"/>
      <c r="B823" s="378"/>
      <c r="C823" s="378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  <c r="T823" s="163"/>
      <c r="U823" s="163"/>
      <c r="V823" s="163"/>
    </row>
    <row r="824" spans="1:22" ht="12.75">
      <c r="A824" s="352"/>
      <c r="B824" s="378"/>
      <c r="C824" s="378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  <c r="T824" s="163"/>
      <c r="U824" s="163"/>
      <c r="V824" s="163"/>
    </row>
    <row r="825" spans="1:22" ht="12.75">
      <c r="A825" s="352"/>
      <c r="B825" s="378"/>
      <c r="C825" s="378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  <c r="T825" s="163"/>
      <c r="U825" s="163"/>
      <c r="V825" s="163"/>
    </row>
    <row r="826" spans="1:22" ht="12.75">
      <c r="A826" s="352"/>
      <c r="B826" s="378"/>
      <c r="C826" s="378"/>
      <c r="D826" s="163"/>
      <c r="E826" s="163"/>
      <c r="F826" s="163"/>
      <c r="G826" s="163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  <c r="T826" s="163"/>
      <c r="U826" s="163"/>
      <c r="V826" s="163"/>
    </row>
    <row r="827" spans="1:22" ht="12.75">
      <c r="A827" s="352"/>
      <c r="B827" s="378"/>
      <c r="C827" s="378"/>
      <c r="D827" s="163"/>
      <c r="E827" s="163"/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  <c r="T827" s="163"/>
      <c r="U827" s="163"/>
      <c r="V827" s="163"/>
    </row>
    <row r="828" spans="1:22" ht="12.75">
      <c r="A828" s="352"/>
      <c r="B828" s="378"/>
      <c r="C828" s="378"/>
      <c r="D828" s="163"/>
      <c r="E828" s="163"/>
      <c r="F828" s="163"/>
      <c r="G828" s="163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  <c r="T828" s="163"/>
      <c r="U828" s="163"/>
      <c r="V828" s="163"/>
    </row>
    <row r="829" spans="1:22" ht="12.75">
      <c r="A829" s="352"/>
      <c r="B829" s="378"/>
      <c r="C829" s="378"/>
      <c r="D829" s="163"/>
      <c r="E829" s="163"/>
      <c r="F829" s="163"/>
      <c r="G829" s="163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  <c r="T829" s="163"/>
      <c r="U829" s="163"/>
      <c r="V829" s="163"/>
    </row>
    <row r="830" spans="1:22" ht="12.75">
      <c r="A830" s="352"/>
      <c r="B830" s="378"/>
      <c r="C830" s="378"/>
      <c r="D830" s="163"/>
      <c r="E830" s="163"/>
      <c r="F830" s="163"/>
      <c r="G830" s="163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  <c r="T830" s="163"/>
      <c r="U830" s="163"/>
      <c r="V830" s="163"/>
    </row>
    <row r="831" spans="1:22" ht="12.75">
      <c r="A831" s="352"/>
      <c r="B831" s="378"/>
      <c r="C831" s="378"/>
      <c r="D831" s="163"/>
      <c r="E831" s="163"/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63"/>
      <c r="V831" s="163"/>
    </row>
    <row r="832" spans="1:22" ht="12.75">
      <c r="A832" s="352"/>
      <c r="B832" s="378"/>
      <c r="C832" s="378"/>
      <c r="D832" s="163"/>
      <c r="E832" s="163"/>
      <c r="F832" s="163"/>
      <c r="G832" s="163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  <c r="T832" s="163"/>
      <c r="U832" s="163"/>
      <c r="V832" s="163"/>
    </row>
    <row r="833" spans="1:22" ht="12.75">
      <c r="A833" s="352"/>
      <c r="B833" s="378"/>
      <c r="C833" s="378"/>
      <c r="D833" s="163"/>
      <c r="E833" s="163"/>
      <c r="F833" s="163"/>
      <c r="G833" s="163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  <c r="T833" s="163"/>
      <c r="U833" s="163"/>
      <c r="V833" s="163"/>
    </row>
    <row r="834" spans="1:22" ht="12.75">
      <c r="A834" s="352"/>
      <c r="B834" s="378"/>
      <c r="C834" s="378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  <c r="T834" s="163"/>
      <c r="U834" s="163"/>
      <c r="V834" s="163"/>
    </row>
    <row r="835" spans="1:22" ht="12.75">
      <c r="A835" s="352"/>
      <c r="B835" s="378"/>
      <c r="C835" s="378"/>
      <c r="D835" s="163"/>
      <c r="E835" s="163"/>
      <c r="F835" s="163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  <c r="T835" s="163"/>
      <c r="U835" s="163"/>
      <c r="V835" s="163"/>
    </row>
    <row r="836" spans="1:22" ht="12.75">
      <c r="A836" s="352"/>
      <c r="B836" s="378"/>
      <c r="C836" s="378"/>
      <c r="D836" s="163"/>
      <c r="E836" s="163"/>
      <c r="F836" s="163"/>
      <c r="G836" s="163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  <c r="T836" s="163"/>
      <c r="U836" s="163"/>
      <c r="V836" s="163"/>
    </row>
    <row r="837" spans="1:22" ht="12.75">
      <c r="A837" s="352"/>
      <c r="B837" s="378"/>
      <c r="C837" s="378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  <c r="T837" s="163"/>
      <c r="U837" s="163"/>
      <c r="V837" s="163"/>
    </row>
    <row r="838" spans="1:22" ht="12.75">
      <c r="A838" s="352"/>
      <c r="B838" s="378"/>
      <c r="C838" s="378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  <c r="T838" s="163"/>
      <c r="U838" s="163"/>
      <c r="V838" s="163"/>
    </row>
    <row r="839" spans="1:22" ht="12.75">
      <c r="A839" s="352"/>
      <c r="B839" s="378"/>
      <c r="C839" s="378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  <c r="T839" s="163"/>
      <c r="U839" s="163"/>
      <c r="V839" s="163"/>
    </row>
    <row r="840" spans="1:22" ht="12.75">
      <c r="A840" s="352"/>
      <c r="B840" s="378"/>
      <c r="C840" s="378"/>
      <c r="D840" s="163"/>
      <c r="E840" s="163"/>
      <c r="F840" s="163"/>
      <c r="G840" s="163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  <c r="T840" s="163"/>
      <c r="U840" s="163"/>
      <c r="V840" s="163"/>
    </row>
    <row r="841" spans="1:22" ht="12.75">
      <c r="A841" s="352"/>
      <c r="B841" s="378"/>
      <c r="C841" s="378"/>
      <c r="D841" s="163"/>
      <c r="E841" s="163"/>
      <c r="F841" s="163"/>
      <c r="G841" s="163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  <c r="T841" s="163"/>
      <c r="U841" s="163"/>
      <c r="V841" s="163"/>
    </row>
    <row r="842" spans="1:22" ht="12.75">
      <c r="A842" s="352"/>
      <c r="B842" s="378"/>
      <c r="C842" s="378"/>
      <c r="D842" s="163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163"/>
      <c r="V842" s="163"/>
    </row>
    <row r="843" spans="1:22" ht="12.75">
      <c r="A843" s="352"/>
      <c r="B843" s="378"/>
      <c r="C843" s="378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  <c r="T843" s="163"/>
      <c r="U843" s="163"/>
      <c r="V843" s="163"/>
    </row>
    <row r="844" spans="1:22" ht="12.75">
      <c r="A844" s="352"/>
      <c r="B844" s="378"/>
      <c r="C844" s="378"/>
      <c r="D844" s="163"/>
      <c r="E844" s="163"/>
      <c r="F844" s="163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  <c r="T844" s="163"/>
      <c r="U844" s="163"/>
      <c r="V844" s="163"/>
    </row>
    <row r="845" spans="1:22" ht="12.75">
      <c r="A845" s="352"/>
      <c r="B845" s="378"/>
      <c r="C845" s="378"/>
      <c r="D845" s="163"/>
      <c r="E845" s="163"/>
      <c r="F845" s="163"/>
      <c r="G845" s="163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  <c r="T845" s="163"/>
      <c r="U845" s="163"/>
      <c r="V845" s="163"/>
    </row>
    <row r="846" spans="1:22" ht="12.75">
      <c r="A846" s="352"/>
      <c r="B846" s="378"/>
      <c r="C846" s="378"/>
      <c r="D846" s="163"/>
      <c r="E846" s="163"/>
      <c r="F846" s="163"/>
      <c r="G846" s="163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  <c r="T846" s="163"/>
      <c r="U846" s="163"/>
      <c r="V846" s="163"/>
    </row>
    <row r="847" spans="1:22" ht="12.75">
      <c r="A847" s="352"/>
      <c r="B847" s="378"/>
      <c r="C847" s="378"/>
      <c r="D847" s="163"/>
      <c r="E847" s="163"/>
      <c r="F847" s="163"/>
      <c r="G847" s="163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3"/>
      <c r="S847" s="163"/>
      <c r="T847" s="163"/>
      <c r="U847" s="163"/>
      <c r="V847" s="163"/>
    </row>
    <row r="848" spans="1:22" ht="12.75">
      <c r="A848" s="352"/>
      <c r="B848" s="378"/>
      <c r="C848" s="378"/>
      <c r="D848" s="163"/>
      <c r="E848" s="163"/>
      <c r="F848" s="163"/>
      <c r="G848" s="163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  <c r="T848" s="163"/>
      <c r="U848" s="163"/>
      <c r="V848" s="163"/>
    </row>
    <row r="849" spans="1:22" ht="12.75">
      <c r="A849" s="352"/>
      <c r="B849" s="378"/>
      <c r="C849" s="378"/>
      <c r="D849" s="163"/>
      <c r="E849" s="163"/>
      <c r="F849" s="163"/>
      <c r="G849" s="163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3"/>
      <c r="S849" s="163"/>
      <c r="T849" s="163"/>
      <c r="U849" s="163"/>
      <c r="V849" s="163"/>
    </row>
    <row r="850" spans="1:22" ht="12.75">
      <c r="A850" s="352"/>
      <c r="B850" s="378"/>
      <c r="C850" s="378"/>
      <c r="D850" s="163"/>
      <c r="E850" s="163"/>
      <c r="F850" s="163"/>
      <c r="G850" s="163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3"/>
      <c r="S850" s="163"/>
      <c r="T850" s="163"/>
      <c r="U850" s="163"/>
      <c r="V850" s="163"/>
    </row>
    <row r="851" spans="1:22" ht="12.75">
      <c r="A851" s="352"/>
      <c r="B851" s="378"/>
      <c r="C851" s="378"/>
      <c r="D851" s="163"/>
      <c r="E851" s="163"/>
      <c r="F851" s="163"/>
      <c r="G851" s="163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3"/>
      <c r="S851" s="163"/>
      <c r="T851" s="163"/>
      <c r="U851" s="163"/>
      <c r="V851" s="163"/>
    </row>
    <row r="852" spans="1:22" ht="12.75">
      <c r="A852" s="352"/>
      <c r="B852" s="378"/>
      <c r="C852" s="378"/>
      <c r="D852" s="163"/>
      <c r="E852" s="163"/>
      <c r="F852" s="163"/>
      <c r="G852" s="163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3"/>
      <c r="S852" s="163"/>
      <c r="T852" s="163"/>
      <c r="U852" s="163"/>
      <c r="V852" s="163"/>
    </row>
    <row r="853" spans="1:22" ht="12.75">
      <c r="A853" s="352"/>
      <c r="B853" s="378"/>
      <c r="C853" s="378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3"/>
      <c r="S853" s="163"/>
      <c r="T853" s="163"/>
      <c r="U853" s="163"/>
      <c r="V853" s="163"/>
    </row>
    <row r="854" spans="1:22" ht="12.75">
      <c r="A854" s="352"/>
      <c r="B854" s="378"/>
      <c r="C854" s="378"/>
      <c r="D854" s="163"/>
      <c r="E854" s="163"/>
      <c r="F854" s="163"/>
      <c r="G854" s="163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3"/>
      <c r="S854" s="163"/>
      <c r="T854" s="163"/>
      <c r="U854" s="163"/>
      <c r="V854" s="163"/>
    </row>
    <row r="855" spans="1:22" ht="12.75">
      <c r="A855" s="352"/>
      <c r="B855" s="378"/>
      <c r="C855" s="378"/>
      <c r="D855" s="163"/>
      <c r="E855" s="163"/>
      <c r="F855" s="163"/>
      <c r="G855" s="163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3"/>
      <c r="S855" s="163"/>
      <c r="T855" s="163"/>
      <c r="U855" s="163"/>
      <c r="V855" s="163"/>
    </row>
    <row r="856" spans="1:22" ht="12.75">
      <c r="A856" s="352"/>
      <c r="B856" s="378"/>
      <c r="C856" s="378"/>
      <c r="D856" s="163"/>
      <c r="E856" s="163"/>
      <c r="F856" s="163"/>
      <c r="G856" s="163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3"/>
    </row>
    <row r="857" spans="1:22" ht="12.75">
      <c r="A857" s="352"/>
      <c r="B857" s="378"/>
      <c r="C857" s="378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  <c r="T857" s="163"/>
      <c r="U857" s="163"/>
      <c r="V857" s="163"/>
    </row>
    <row r="858" spans="1:22" ht="12.75">
      <c r="A858" s="352"/>
      <c r="B858" s="378"/>
      <c r="C858" s="378"/>
      <c r="D858" s="163"/>
      <c r="E858" s="163"/>
      <c r="F858" s="163"/>
      <c r="G858" s="163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3"/>
      <c r="S858" s="163"/>
      <c r="T858" s="163"/>
      <c r="U858" s="163"/>
      <c r="V858" s="163"/>
    </row>
    <row r="859" spans="1:22" ht="12.75">
      <c r="A859" s="352"/>
      <c r="B859" s="378"/>
      <c r="C859" s="378"/>
      <c r="D859" s="163"/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3"/>
      <c r="S859" s="163"/>
      <c r="T859" s="163"/>
      <c r="U859" s="163"/>
      <c r="V859" s="163"/>
    </row>
    <row r="860" spans="1:22" ht="12.75">
      <c r="A860" s="352"/>
      <c r="B860" s="378"/>
      <c r="C860" s="378"/>
      <c r="D860" s="163"/>
      <c r="E860" s="163"/>
      <c r="F860" s="163"/>
      <c r="G860" s="163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3"/>
      <c r="S860" s="163"/>
      <c r="T860" s="163"/>
      <c r="U860" s="163"/>
      <c r="V860" s="163"/>
    </row>
    <row r="861" spans="1:22" ht="12.75">
      <c r="A861" s="352"/>
      <c r="B861" s="378"/>
      <c r="C861" s="378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  <c r="T861" s="163"/>
      <c r="U861" s="163"/>
      <c r="V861" s="163"/>
    </row>
    <row r="862" spans="1:22" ht="12.75">
      <c r="A862" s="352"/>
      <c r="B862" s="378"/>
      <c r="C862" s="378"/>
      <c r="D862" s="163"/>
      <c r="E862" s="163"/>
      <c r="F862" s="163"/>
      <c r="G862" s="163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3"/>
    </row>
    <row r="863" spans="1:22" ht="12.75">
      <c r="A863" s="352"/>
      <c r="B863" s="378"/>
      <c r="C863" s="378"/>
      <c r="D863" s="163"/>
      <c r="E863" s="163"/>
      <c r="F863" s="163"/>
      <c r="G863" s="163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  <c r="T863" s="163"/>
      <c r="U863" s="163"/>
      <c r="V863" s="163"/>
    </row>
    <row r="864" spans="1:22" ht="12.75">
      <c r="A864" s="352"/>
      <c r="B864" s="378"/>
      <c r="C864" s="378"/>
      <c r="D864" s="163"/>
      <c r="E864" s="163"/>
      <c r="F864" s="163"/>
      <c r="G864" s="163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  <c r="T864" s="163"/>
      <c r="U864" s="163"/>
      <c r="V864" s="163"/>
    </row>
    <row r="865" spans="1:22" ht="12.75">
      <c r="A865" s="352"/>
      <c r="B865" s="378"/>
      <c r="C865" s="378"/>
      <c r="D865" s="163"/>
      <c r="E865" s="163"/>
      <c r="F865" s="163"/>
      <c r="G865" s="163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3"/>
      <c r="S865" s="163"/>
      <c r="T865" s="163"/>
      <c r="U865" s="163"/>
      <c r="V865" s="163"/>
    </row>
    <row r="866" spans="1:22" ht="12.75">
      <c r="A866" s="352"/>
      <c r="B866" s="378"/>
      <c r="C866" s="378"/>
      <c r="D866" s="163"/>
      <c r="E866" s="163"/>
      <c r="F866" s="163"/>
      <c r="G866" s="163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  <c r="T866" s="163"/>
      <c r="U866" s="163"/>
      <c r="V866" s="163"/>
    </row>
    <row r="867" spans="1:22" ht="12.75">
      <c r="A867" s="352"/>
      <c r="B867" s="378"/>
      <c r="C867" s="378"/>
      <c r="D867" s="163"/>
      <c r="E867" s="163"/>
      <c r="F867" s="163"/>
      <c r="G867" s="163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  <c r="T867" s="163"/>
      <c r="U867" s="163"/>
      <c r="V867" s="163"/>
    </row>
    <row r="868" spans="1:22" ht="12.75">
      <c r="A868" s="352"/>
      <c r="B868" s="378"/>
      <c r="C868" s="378"/>
      <c r="D868" s="163"/>
      <c r="E868" s="163"/>
      <c r="F868" s="163"/>
      <c r="G868" s="163"/>
      <c r="H868" s="163"/>
      <c r="I868" s="163"/>
      <c r="J868" s="163"/>
      <c r="K868" s="163"/>
      <c r="L868" s="163"/>
      <c r="M868" s="163"/>
      <c r="N868" s="163"/>
      <c r="O868" s="163"/>
      <c r="P868" s="163"/>
      <c r="Q868" s="163"/>
      <c r="R868" s="163"/>
      <c r="S868" s="163"/>
      <c r="T868" s="163"/>
      <c r="U868" s="163"/>
      <c r="V868" s="163"/>
    </row>
    <row r="869" spans="1:22" ht="12.75">
      <c r="A869" s="352"/>
      <c r="B869" s="378"/>
      <c r="C869" s="378"/>
      <c r="D869" s="163"/>
      <c r="E869" s="163"/>
      <c r="F869" s="163"/>
      <c r="G869" s="163"/>
      <c r="H869" s="163"/>
      <c r="I869" s="163"/>
      <c r="J869" s="163"/>
      <c r="K869" s="163"/>
      <c r="L869" s="163"/>
      <c r="M869" s="163"/>
      <c r="N869" s="163"/>
      <c r="O869" s="163"/>
      <c r="P869" s="163"/>
      <c r="Q869" s="163"/>
      <c r="R869" s="163"/>
      <c r="S869" s="163"/>
      <c r="T869" s="163"/>
      <c r="U869" s="163"/>
      <c r="V869" s="163"/>
    </row>
    <row r="870" spans="1:22" ht="12.75">
      <c r="A870" s="352"/>
      <c r="B870" s="378"/>
      <c r="C870" s="378"/>
      <c r="D870" s="163"/>
      <c r="E870" s="163"/>
      <c r="F870" s="163"/>
      <c r="G870" s="163"/>
      <c r="H870" s="163"/>
      <c r="I870" s="163"/>
      <c r="J870" s="163"/>
      <c r="K870" s="163"/>
      <c r="L870" s="163"/>
      <c r="M870" s="163"/>
      <c r="N870" s="163"/>
      <c r="O870" s="163"/>
      <c r="P870" s="163"/>
      <c r="Q870" s="163"/>
      <c r="R870" s="163"/>
      <c r="S870" s="163"/>
      <c r="T870" s="163"/>
      <c r="U870" s="163"/>
      <c r="V870" s="163"/>
    </row>
    <row r="871" spans="1:22" ht="12.75">
      <c r="A871" s="352"/>
      <c r="B871" s="378"/>
      <c r="C871" s="378"/>
      <c r="D871" s="163"/>
      <c r="E871" s="163"/>
      <c r="F871" s="163"/>
      <c r="G871" s="163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  <c r="T871" s="163"/>
      <c r="U871" s="163"/>
      <c r="V871" s="163"/>
    </row>
    <row r="872" spans="1:22" ht="12.75">
      <c r="A872" s="352"/>
      <c r="B872" s="378"/>
      <c r="C872" s="378"/>
      <c r="D872" s="163"/>
      <c r="E872" s="163"/>
      <c r="F872" s="163"/>
      <c r="G872" s="163"/>
      <c r="H872" s="163"/>
      <c r="I872" s="163"/>
      <c r="J872" s="163"/>
      <c r="K872" s="163"/>
      <c r="L872" s="163"/>
      <c r="M872" s="163"/>
      <c r="N872" s="163"/>
      <c r="O872" s="163"/>
      <c r="P872" s="163"/>
      <c r="Q872" s="163"/>
      <c r="R872" s="163"/>
      <c r="S872" s="163"/>
      <c r="T872" s="163"/>
      <c r="U872" s="163"/>
      <c r="V872" s="163"/>
    </row>
    <row r="873" spans="1:22" ht="12.75">
      <c r="A873" s="352"/>
      <c r="B873" s="378"/>
      <c r="C873" s="378"/>
      <c r="D873" s="163"/>
      <c r="E873" s="163"/>
      <c r="F873" s="163"/>
      <c r="G873" s="163"/>
      <c r="H873" s="163"/>
      <c r="I873" s="163"/>
      <c r="J873" s="163"/>
      <c r="K873" s="163"/>
      <c r="L873" s="163"/>
      <c r="M873" s="163"/>
      <c r="N873" s="163"/>
      <c r="O873" s="163"/>
      <c r="P873" s="163"/>
      <c r="Q873" s="163"/>
      <c r="R873" s="163"/>
      <c r="S873" s="163"/>
      <c r="T873" s="163"/>
      <c r="U873" s="163"/>
      <c r="V873" s="163"/>
    </row>
    <row r="874" spans="1:22" ht="12.75">
      <c r="A874" s="352"/>
      <c r="B874" s="378"/>
      <c r="C874" s="378"/>
      <c r="D874" s="163"/>
      <c r="E874" s="163"/>
      <c r="F874" s="163"/>
      <c r="G874" s="163"/>
      <c r="H874" s="163"/>
      <c r="I874" s="163"/>
      <c r="J874" s="163"/>
      <c r="K874" s="163"/>
      <c r="L874" s="163"/>
      <c r="M874" s="163"/>
      <c r="N874" s="163"/>
      <c r="O874" s="163"/>
      <c r="P874" s="163"/>
      <c r="Q874" s="163"/>
      <c r="R874" s="163"/>
      <c r="S874" s="163"/>
      <c r="T874" s="163"/>
      <c r="U874" s="163"/>
      <c r="V874" s="163"/>
    </row>
    <row r="875" spans="1:22" ht="12.75">
      <c r="A875" s="352"/>
      <c r="B875" s="378"/>
      <c r="C875" s="378"/>
      <c r="D875" s="163"/>
      <c r="E875" s="163"/>
      <c r="F875" s="163"/>
      <c r="G875" s="163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  <c r="T875" s="163"/>
      <c r="U875" s="163"/>
      <c r="V875" s="163"/>
    </row>
    <row r="876" spans="1:22" ht="12.75">
      <c r="A876" s="352"/>
      <c r="B876" s="378"/>
      <c r="C876" s="378"/>
      <c r="D876" s="163"/>
      <c r="E876" s="163"/>
      <c r="F876" s="163"/>
      <c r="G876" s="163"/>
      <c r="H876" s="163"/>
      <c r="I876" s="163"/>
      <c r="J876" s="163"/>
      <c r="K876" s="163"/>
      <c r="L876" s="163"/>
      <c r="M876" s="163"/>
      <c r="N876" s="163"/>
      <c r="O876" s="163"/>
      <c r="P876" s="163"/>
      <c r="Q876" s="163"/>
      <c r="R876" s="163"/>
      <c r="S876" s="163"/>
      <c r="T876" s="163"/>
      <c r="U876" s="163"/>
      <c r="V876" s="163"/>
    </row>
    <row r="877" spans="1:22" ht="12.75">
      <c r="A877" s="352"/>
      <c r="B877" s="378"/>
      <c r="C877" s="378"/>
      <c r="D877" s="163"/>
      <c r="E877" s="163"/>
      <c r="F877" s="163"/>
      <c r="G877" s="163"/>
      <c r="H877" s="163"/>
      <c r="I877" s="163"/>
      <c r="J877" s="163"/>
      <c r="K877" s="163"/>
      <c r="L877" s="163"/>
      <c r="M877" s="163"/>
      <c r="N877" s="163"/>
      <c r="O877" s="163"/>
      <c r="P877" s="163"/>
      <c r="Q877" s="163"/>
      <c r="R877" s="163"/>
      <c r="S877" s="163"/>
      <c r="T877" s="163"/>
      <c r="U877" s="163"/>
      <c r="V877" s="163"/>
    </row>
    <row r="878" spans="1:22" ht="12.75">
      <c r="A878" s="352"/>
      <c r="B878" s="378"/>
      <c r="C878" s="378"/>
      <c r="D878" s="163"/>
      <c r="E878" s="163"/>
      <c r="F878" s="163"/>
      <c r="G878" s="163"/>
      <c r="H878" s="163"/>
      <c r="I878" s="163"/>
      <c r="J878" s="163"/>
      <c r="K878" s="163"/>
      <c r="L878" s="163"/>
      <c r="M878" s="163"/>
      <c r="N878" s="163"/>
      <c r="O878" s="163"/>
      <c r="P878" s="163"/>
      <c r="Q878" s="163"/>
      <c r="R878" s="163"/>
      <c r="S878" s="163"/>
      <c r="T878" s="163"/>
      <c r="U878" s="163"/>
      <c r="V878" s="163"/>
    </row>
    <row r="879" spans="1:22" ht="12.75">
      <c r="A879" s="352"/>
      <c r="B879" s="378"/>
      <c r="C879" s="378"/>
      <c r="D879" s="163"/>
      <c r="E879" s="163"/>
      <c r="F879" s="163"/>
      <c r="G879" s="163"/>
      <c r="H879" s="163"/>
      <c r="I879" s="163"/>
      <c r="J879" s="163"/>
      <c r="K879" s="163"/>
      <c r="L879" s="163"/>
      <c r="M879" s="163"/>
      <c r="N879" s="163"/>
      <c r="O879" s="163"/>
      <c r="P879" s="163"/>
      <c r="Q879" s="163"/>
      <c r="R879" s="163"/>
      <c r="S879" s="163"/>
      <c r="T879" s="163"/>
      <c r="U879" s="163"/>
      <c r="V879" s="163"/>
    </row>
    <row r="880" spans="1:22" ht="12.75">
      <c r="A880" s="352"/>
      <c r="B880" s="378"/>
      <c r="C880" s="378"/>
      <c r="D880" s="163"/>
      <c r="E880" s="163"/>
      <c r="F880" s="163"/>
      <c r="G880" s="163"/>
      <c r="H880" s="163"/>
      <c r="I880" s="163"/>
      <c r="J880" s="163"/>
      <c r="K880" s="163"/>
      <c r="L880" s="163"/>
      <c r="M880" s="163"/>
      <c r="N880" s="163"/>
      <c r="O880" s="163"/>
      <c r="P880" s="163"/>
      <c r="Q880" s="163"/>
      <c r="R880" s="163"/>
      <c r="S880" s="163"/>
      <c r="T880" s="163"/>
      <c r="U880" s="163"/>
      <c r="V880" s="163"/>
    </row>
    <row r="881" spans="1:22" ht="12.75">
      <c r="A881" s="352"/>
      <c r="B881" s="378"/>
      <c r="C881" s="378"/>
      <c r="D881" s="163"/>
      <c r="E881" s="163"/>
      <c r="F881" s="163"/>
      <c r="G881" s="163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  <c r="T881" s="163"/>
      <c r="U881" s="163"/>
      <c r="V881" s="163"/>
    </row>
    <row r="882" spans="1:22" ht="12.75">
      <c r="A882" s="352"/>
      <c r="B882" s="378"/>
      <c r="C882" s="378"/>
      <c r="D882" s="163"/>
      <c r="E882" s="163"/>
      <c r="F882" s="163"/>
      <c r="G882" s="163"/>
      <c r="H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3"/>
      <c r="S882" s="163"/>
      <c r="T882" s="163"/>
      <c r="U882" s="163"/>
      <c r="V882" s="163"/>
    </row>
    <row r="883" spans="1:22" ht="12.75">
      <c r="A883" s="352"/>
      <c r="B883" s="378"/>
      <c r="C883" s="378"/>
      <c r="D883" s="163"/>
      <c r="E883" s="163"/>
      <c r="F883" s="163"/>
      <c r="G883" s="163"/>
      <c r="H883" s="163"/>
      <c r="I883" s="163"/>
      <c r="J883" s="163"/>
      <c r="K883" s="163"/>
      <c r="L883" s="163"/>
      <c r="M883" s="163"/>
      <c r="N883" s="163"/>
      <c r="O883" s="163"/>
      <c r="P883" s="163"/>
      <c r="Q883" s="163"/>
      <c r="R883" s="163"/>
      <c r="S883" s="163"/>
      <c r="T883" s="163"/>
      <c r="U883" s="163"/>
      <c r="V883" s="163"/>
    </row>
    <row r="884" spans="1:22" ht="12.75">
      <c r="A884" s="352"/>
      <c r="B884" s="378"/>
      <c r="C884" s="378"/>
      <c r="D884" s="163"/>
      <c r="E884" s="163"/>
      <c r="F884" s="163"/>
      <c r="G884" s="163"/>
      <c r="H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3"/>
      <c r="S884" s="163"/>
      <c r="T884" s="163"/>
      <c r="U884" s="163"/>
      <c r="V884" s="163"/>
    </row>
    <row r="885" spans="1:22" ht="12.75">
      <c r="A885" s="352"/>
      <c r="B885" s="378"/>
      <c r="C885" s="378"/>
      <c r="D885" s="163"/>
      <c r="E885" s="163"/>
      <c r="F885" s="163"/>
      <c r="G885" s="163"/>
      <c r="H885" s="163"/>
      <c r="I885" s="163"/>
      <c r="J885" s="163"/>
      <c r="K885" s="163"/>
      <c r="L885" s="163"/>
      <c r="M885" s="163"/>
      <c r="N885" s="163"/>
      <c r="O885" s="163"/>
      <c r="P885" s="163"/>
      <c r="Q885" s="163"/>
      <c r="R885" s="163"/>
      <c r="S885" s="163"/>
      <c r="T885" s="163"/>
      <c r="U885" s="163"/>
      <c r="V885" s="163"/>
    </row>
    <row r="886" spans="1:22" ht="12.75">
      <c r="A886" s="352"/>
      <c r="B886" s="378"/>
      <c r="C886" s="378"/>
      <c r="D886" s="163"/>
      <c r="E886" s="163"/>
      <c r="F886" s="163"/>
      <c r="G886" s="163"/>
      <c r="H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3"/>
      <c r="S886" s="163"/>
      <c r="T886" s="163"/>
      <c r="U886" s="163"/>
      <c r="V886" s="163"/>
    </row>
    <row r="887" spans="1:22" ht="12.75">
      <c r="A887" s="352"/>
      <c r="B887" s="378"/>
      <c r="C887" s="378"/>
      <c r="D887" s="163"/>
      <c r="E887" s="163"/>
      <c r="F887" s="163"/>
      <c r="G887" s="163"/>
      <c r="H887" s="163"/>
      <c r="I887" s="163"/>
      <c r="J887" s="163"/>
      <c r="K887" s="163"/>
      <c r="L887" s="163"/>
      <c r="M887" s="163"/>
      <c r="N887" s="163"/>
      <c r="O887" s="163"/>
      <c r="P887" s="163"/>
      <c r="Q887" s="163"/>
      <c r="R887" s="163"/>
      <c r="S887" s="163"/>
      <c r="T887" s="163"/>
      <c r="U887" s="163"/>
      <c r="V887" s="163"/>
    </row>
    <row r="888" spans="1:22" ht="12.75">
      <c r="A888" s="352"/>
      <c r="B888" s="378"/>
      <c r="C888" s="378"/>
      <c r="D888" s="163"/>
      <c r="E888" s="163"/>
      <c r="F888" s="163"/>
      <c r="G888" s="163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  <c r="T888" s="163"/>
      <c r="U888" s="163"/>
      <c r="V888" s="163"/>
    </row>
    <row r="889" spans="1:22" ht="12.75">
      <c r="A889" s="352"/>
      <c r="B889" s="378"/>
      <c r="C889" s="378"/>
      <c r="D889" s="163"/>
      <c r="E889" s="163"/>
      <c r="F889" s="163"/>
      <c r="G889" s="163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3"/>
      <c r="S889" s="163"/>
      <c r="T889" s="163"/>
      <c r="U889" s="163"/>
      <c r="V889" s="163"/>
    </row>
    <row r="890" spans="1:22" ht="12.75">
      <c r="A890" s="352"/>
      <c r="B890" s="378"/>
      <c r="C890" s="378"/>
      <c r="D890" s="163"/>
      <c r="E890" s="163"/>
      <c r="F890" s="163"/>
      <c r="G890" s="163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  <c r="T890" s="163"/>
      <c r="U890" s="163"/>
      <c r="V890" s="163"/>
    </row>
    <row r="891" spans="1:22" ht="12.75">
      <c r="A891" s="352"/>
      <c r="B891" s="378"/>
      <c r="C891" s="378"/>
      <c r="D891" s="163"/>
      <c r="E891" s="163"/>
      <c r="F891" s="163"/>
      <c r="G891" s="163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3"/>
      <c r="S891" s="163"/>
      <c r="T891" s="163"/>
      <c r="U891" s="163"/>
      <c r="V891" s="163"/>
    </row>
    <row r="892" spans="1:22" ht="12.75">
      <c r="A892" s="352"/>
      <c r="B892" s="378"/>
      <c r="C892" s="378"/>
      <c r="D892" s="163"/>
      <c r="E892" s="163"/>
      <c r="F892" s="163"/>
      <c r="G892" s="163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  <c r="T892" s="163"/>
      <c r="U892" s="163"/>
      <c r="V892" s="163"/>
    </row>
    <row r="893" spans="1:22" ht="12.75">
      <c r="A893" s="352"/>
      <c r="B893" s="378"/>
      <c r="C893" s="378"/>
      <c r="D893" s="163"/>
      <c r="E893" s="163"/>
      <c r="F893" s="163"/>
      <c r="G893" s="163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3"/>
      <c r="S893" s="163"/>
      <c r="T893" s="163"/>
      <c r="U893" s="163"/>
      <c r="V893" s="163"/>
    </row>
    <row r="894" spans="1:22" ht="12.75">
      <c r="A894" s="352"/>
      <c r="B894" s="378"/>
      <c r="C894" s="378"/>
      <c r="D894" s="163"/>
      <c r="E894" s="163"/>
      <c r="F894" s="163"/>
      <c r="G894" s="163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  <c r="T894" s="163"/>
      <c r="U894" s="163"/>
      <c r="V894" s="163"/>
    </row>
    <row r="895" spans="1:22" ht="12.75">
      <c r="A895" s="352"/>
      <c r="B895" s="378"/>
      <c r="C895" s="378"/>
      <c r="D895" s="163"/>
      <c r="E895" s="163"/>
      <c r="F895" s="163"/>
      <c r="G895" s="163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  <c r="T895" s="163"/>
      <c r="U895" s="163"/>
      <c r="V895" s="163"/>
    </row>
    <row r="896" spans="1:22" ht="12.75">
      <c r="A896" s="352"/>
      <c r="B896" s="378"/>
      <c r="C896" s="378"/>
      <c r="D896" s="163"/>
      <c r="E896" s="163"/>
      <c r="F896" s="163"/>
      <c r="G896" s="163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  <c r="T896" s="163"/>
      <c r="U896" s="163"/>
      <c r="V896" s="163"/>
    </row>
    <row r="897" spans="1:22" ht="12.75">
      <c r="A897" s="352"/>
      <c r="B897" s="378"/>
      <c r="C897" s="378"/>
      <c r="D897" s="163"/>
      <c r="E897" s="163"/>
      <c r="F897" s="163"/>
      <c r="G897" s="163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  <c r="R897" s="163"/>
      <c r="S897" s="163"/>
      <c r="T897" s="163"/>
      <c r="U897" s="163"/>
      <c r="V897" s="163"/>
    </row>
    <row r="898" spans="1:22" ht="12.75">
      <c r="A898" s="352"/>
      <c r="B898" s="378"/>
      <c r="C898" s="378"/>
      <c r="D898" s="163"/>
      <c r="E898" s="163"/>
      <c r="F898" s="163"/>
      <c r="G898" s="163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  <c r="R898" s="163"/>
      <c r="S898" s="163"/>
      <c r="T898" s="163"/>
      <c r="U898" s="163"/>
      <c r="V898" s="163"/>
    </row>
    <row r="899" spans="1:22" ht="12.75">
      <c r="A899" s="352"/>
      <c r="B899" s="378"/>
      <c r="C899" s="378"/>
      <c r="D899" s="163"/>
      <c r="E899" s="163"/>
      <c r="F899" s="163"/>
      <c r="G899" s="163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  <c r="R899" s="163"/>
      <c r="S899" s="163"/>
      <c r="T899" s="163"/>
      <c r="U899" s="163"/>
      <c r="V899" s="163"/>
    </row>
    <row r="900" spans="1:22" ht="12.75">
      <c r="A900" s="352"/>
      <c r="B900" s="378"/>
      <c r="C900" s="378"/>
      <c r="D900" s="163"/>
      <c r="E900" s="163"/>
      <c r="F900" s="163"/>
      <c r="G900" s="163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  <c r="R900" s="163"/>
      <c r="S900" s="163"/>
      <c r="T900" s="163"/>
      <c r="U900" s="163"/>
      <c r="V900" s="163"/>
    </row>
  </sheetData>
  <sheetProtection/>
  <autoFilter ref="A653:V653"/>
  <printOptions gridLines="1"/>
  <pageMargins left="0" right="0" top="0.15748031496062992" bottom="0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B53" sqref="B53:F53"/>
    </sheetView>
  </sheetViews>
  <sheetFormatPr defaultColWidth="9.00390625" defaultRowHeight="12.75"/>
  <cols>
    <col min="1" max="1" width="71.875" style="1" customWidth="1"/>
    <col min="2" max="2" width="11.125" style="1" customWidth="1"/>
    <col min="3" max="3" width="10.00390625" style="1" customWidth="1"/>
    <col min="4" max="4" width="9.75390625" style="1" customWidth="1"/>
    <col min="5" max="5" width="8.75390625" style="1" customWidth="1"/>
    <col min="6" max="16384" width="9.00390625" style="1" customWidth="1"/>
  </cols>
  <sheetData>
    <row r="1" ht="12.75">
      <c r="C1" s="409"/>
    </row>
    <row r="3" spans="1:2" ht="23.25">
      <c r="A3" s="852" t="s">
        <v>1006</v>
      </c>
      <c r="B3" s="411" t="s">
        <v>742</v>
      </c>
    </row>
    <row r="4" spans="1:2" ht="23.25">
      <c r="A4" s="410"/>
      <c r="B4" s="411"/>
    </row>
    <row r="5" spans="1:5" ht="18">
      <c r="A5" s="412"/>
      <c r="B5" s="413" t="s">
        <v>501</v>
      </c>
      <c r="C5" s="413" t="s">
        <v>501</v>
      </c>
      <c r="D5" s="413" t="s">
        <v>501</v>
      </c>
      <c r="E5" s="413" t="s">
        <v>501</v>
      </c>
    </row>
    <row r="6" spans="1:5" ht="18">
      <c r="A6" s="412"/>
      <c r="B6" s="413">
        <v>2013</v>
      </c>
      <c r="C6" s="413">
        <v>2014</v>
      </c>
      <c r="D6" s="413">
        <v>2015</v>
      </c>
      <c r="E6" s="413">
        <v>2016</v>
      </c>
    </row>
    <row r="7" spans="1:5" ht="16.5" thickBot="1">
      <c r="A7" s="223"/>
      <c r="B7" s="225" t="s">
        <v>343</v>
      </c>
      <c r="C7" s="225" t="s">
        <v>343</v>
      </c>
      <c r="D7" s="225" t="s">
        <v>343</v>
      </c>
      <c r="E7" s="225" t="s">
        <v>343</v>
      </c>
    </row>
    <row r="8" spans="1:5" ht="16.5" thickBot="1">
      <c r="A8" s="305" t="s">
        <v>371</v>
      </c>
      <c r="B8" s="414">
        <f>B10+B19</f>
        <v>49976</v>
      </c>
      <c r="C8" s="414">
        <f>C10+C19</f>
        <v>48287</v>
      </c>
      <c r="D8" s="414">
        <f>D10+D19</f>
        <v>46250</v>
      </c>
      <c r="E8" s="414">
        <f>E10+E19</f>
        <v>46660</v>
      </c>
    </row>
    <row r="9" spans="2:5" ht="15.75" thickBot="1">
      <c r="B9" s="415"/>
      <c r="C9" s="415"/>
      <c r="D9" s="415"/>
      <c r="E9" s="415"/>
    </row>
    <row r="10" spans="1:5" ht="16.5" thickBot="1">
      <c r="A10" s="305" t="s">
        <v>372</v>
      </c>
      <c r="B10" s="414">
        <f>SUM(B11:B18)</f>
        <v>47924</v>
      </c>
      <c r="C10" s="414">
        <f>SUM(C11:C18)</f>
        <v>46415</v>
      </c>
      <c r="D10" s="414">
        <f>SUM(D11:D18)</f>
        <v>45590</v>
      </c>
      <c r="E10" s="414">
        <f>SUM(E11:E18)</f>
        <v>46000</v>
      </c>
    </row>
    <row r="11" spans="1:5" ht="15">
      <c r="A11" s="849" t="s">
        <v>1023</v>
      </c>
      <c r="B11" s="416">
        <v>8200</v>
      </c>
      <c r="C11" s="416">
        <v>8600</v>
      </c>
      <c r="D11" s="416">
        <v>8500</v>
      </c>
      <c r="E11" s="416">
        <v>8600</v>
      </c>
    </row>
    <row r="12" spans="1:5" ht="15">
      <c r="A12" s="850" t="s">
        <v>1024</v>
      </c>
      <c r="B12" s="418">
        <v>33500</v>
      </c>
      <c r="C12" s="418">
        <v>33550</v>
      </c>
      <c r="D12" s="418">
        <v>33600</v>
      </c>
      <c r="E12" s="418">
        <v>33600</v>
      </c>
    </row>
    <row r="13" spans="1:5" ht="15">
      <c r="A13" s="850" t="s">
        <v>1025</v>
      </c>
      <c r="B13" s="418">
        <v>965</v>
      </c>
      <c r="C13" s="418">
        <v>965</v>
      </c>
      <c r="D13" s="418">
        <v>990</v>
      </c>
      <c r="E13" s="418">
        <v>1300</v>
      </c>
    </row>
    <row r="14" spans="1:5" ht="15">
      <c r="A14" s="850" t="s">
        <v>1026</v>
      </c>
      <c r="B14" s="418">
        <v>1400</v>
      </c>
      <c r="C14" s="418">
        <v>1000</v>
      </c>
      <c r="D14" s="418">
        <v>1000</v>
      </c>
      <c r="E14" s="418">
        <v>1000</v>
      </c>
    </row>
    <row r="15" spans="1:5" ht="15">
      <c r="A15" s="850" t="s">
        <v>748</v>
      </c>
      <c r="B15" s="418">
        <v>1539</v>
      </c>
      <c r="C15" s="418">
        <v>0</v>
      </c>
      <c r="D15" s="418">
        <v>0</v>
      </c>
      <c r="E15" s="418">
        <v>0</v>
      </c>
    </row>
    <row r="16" spans="1:5" ht="15">
      <c r="A16" s="850" t="s">
        <v>1028</v>
      </c>
      <c r="B16" s="418">
        <v>2200</v>
      </c>
      <c r="C16" s="418">
        <v>2200</v>
      </c>
      <c r="D16" s="418">
        <v>1500</v>
      </c>
      <c r="E16" s="418">
        <v>1500</v>
      </c>
    </row>
    <row r="17" spans="1:5" ht="15">
      <c r="A17" s="850" t="s">
        <v>1029</v>
      </c>
      <c r="B17" s="418">
        <v>80</v>
      </c>
      <c r="C17" s="418">
        <v>60</v>
      </c>
      <c r="D17" s="418">
        <v>0</v>
      </c>
      <c r="E17" s="418">
        <v>0</v>
      </c>
    </row>
    <row r="18" spans="1:5" ht="15.75" thickBot="1">
      <c r="A18" s="850" t="s">
        <v>743</v>
      </c>
      <c r="B18" s="418">
        <v>40</v>
      </c>
      <c r="C18" s="418">
        <v>40</v>
      </c>
      <c r="D18" s="418">
        <v>0</v>
      </c>
      <c r="E18" s="418">
        <v>0</v>
      </c>
    </row>
    <row r="19" spans="1:5" ht="16.5" thickBot="1">
      <c r="A19" s="305" t="s">
        <v>407</v>
      </c>
      <c r="B19" s="414">
        <f>SUM(B20:B23)</f>
        <v>2052</v>
      </c>
      <c r="C19" s="414">
        <f>SUM(C20:C23)</f>
        <v>1872</v>
      </c>
      <c r="D19" s="414">
        <f>SUM(D20:D23)</f>
        <v>660</v>
      </c>
      <c r="E19" s="414">
        <f>SUM(E20:E23)</f>
        <v>660</v>
      </c>
    </row>
    <row r="20" spans="1:5" ht="15">
      <c r="A20" s="850" t="s">
        <v>1032</v>
      </c>
      <c r="B20" s="418">
        <v>200</v>
      </c>
      <c r="C20" s="418">
        <v>220</v>
      </c>
      <c r="D20" s="418">
        <v>260</v>
      </c>
      <c r="E20" s="418">
        <v>260</v>
      </c>
    </row>
    <row r="21" spans="1:5" ht="15">
      <c r="A21" s="850" t="s">
        <v>1033</v>
      </c>
      <c r="B21" s="418">
        <v>500</v>
      </c>
      <c r="C21" s="418">
        <v>300</v>
      </c>
      <c r="D21" s="418">
        <v>300</v>
      </c>
      <c r="E21" s="418">
        <v>300</v>
      </c>
    </row>
    <row r="22" spans="1:5" ht="15">
      <c r="A22" s="850" t="s">
        <v>744</v>
      </c>
      <c r="B22" s="418">
        <v>1252</v>
      </c>
      <c r="C22" s="418">
        <v>1252</v>
      </c>
      <c r="D22" s="418">
        <v>0</v>
      </c>
      <c r="E22" s="418">
        <v>0</v>
      </c>
    </row>
    <row r="23" spans="1:5" ht="15.75" thickBot="1">
      <c r="A23" s="530" t="s">
        <v>1034</v>
      </c>
      <c r="B23" s="419">
        <v>100</v>
      </c>
      <c r="C23" s="419">
        <v>100</v>
      </c>
      <c r="D23" s="419">
        <v>100</v>
      </c>
      <c r="E23" s="419">
        <v>100</v>
      </c>
    </row>
    <row r="24" spans="1:5" ht="15">
      <c r="A24" s="420"/>
      <c r="B24" s="421"/>
      <c r="C24" s="421"/>
      <c r="D24" s="421"/>
      <c r="E24" s="421"/>
    </row>
    <row r="25" spans="2:5" ht="15.75" thickBot="1">
      <c r="B25" s="415"/>
      <c r="C25" s="415"/>
      <c r="D25" s="415"/>
      <c r="E25" s="415"/>
    </row>
    <row r="26" spans="1:5" ht="16.5" thickBot="1">
      <c r="A26" s="305" t="s">
        <v>408</v>
      </c>
      <c r="B26" s="414">
        <f>B28+B44</f>
        <v>55824</v>
      </c>
      <c r="C26" s="414">
        <f>C28+C44</f>
        <v>52075</v>
      </c>
      <c r="D26" s="414">
        <f>D28+D44</f>
        <v>51250</v>
      </c>
      <c r="E26" s="414">
        <f>E28+E44</f>
        <v>51660</v>
      </c>
    </row>
    <row r="27" spans="2:5" ht="15.75" thickBot="1">
      <c r="B27" s="415"/>
      <c r="C27" s="415"/>
      <c r="D27" s="415"/>
      <c r="E27" s="415"/>
    </row>
    <row r="28" spans="1:5" ht="16.5" thickBot="1">
      <c r="A28" s="305" t="s">
        <v>409</v>
      </c>
      <c r="B28" s="414">
        <f>SUM(B29:B43)</f>
        <v>47924</v>
      </c>
      <c r="C28" s="414">
        <f>SUM(C29:C43)</f>
        <v>46415</v>
      </c>
      <c r="D28" s="414">
        <f>SUM(D29:D43)</f>
        <v>45590</v>
      </c>
      <c r="E28" s="414">
        <f>SUM(E29:E43)</f>
        <v>46000</v>
      </c>
    </row>
    <row r="29" spans="1:5" ht="15">
      <c r="A29" s="850" t="s">
        <v>1036</v>
      </c>
      <c r="B29" s="418">
        <v>13500</v>
      </c>
      <c r="C29" s="418">
        <v>13800</v>
      </c>
      <c r="D29" s="418">
        <v>14500</v>
      </c>
      <c r="E29" s="418">
        <v>14735</v>
      </c>
    </row>
    <row r="30" spans="1:5" ht="15">
      <c r="A30" s="850" t="s">
        <v>1037</v>
      </c>
      <c r="B30" s="418">
        <v>4550</v>
      </c>
      <c r="C30" s="418">
        <v>4720</v>
      </c>
      <c r="D30" s="418">
        <v>4750</v>
      </c>
      <c r="E30" s="418">
        <v>4820</v>
      </c>
    </row>
    <row r="31" spans="1:5" ht="15">
      <c r="A31" s="850" t="s">
        <v>1038</v>
      </c>
      <c r="B31" s="418">
        <v>3000</v>
      </c>
      <c r="C31" s="418">
        <v>3105</v>
      </c>
      <c r="D31" s="418">
        <v>1955</v>
      </c>
      <c r="E31" s="418">
        <v>1960</v>
      </c>
    </row>
    <row r="32" spans="1:5" ht="15">
      <c r="A32" s="850" t="s">
        <v>1039</v>
      </c>
      <c r="B32" s="418">
        <v>6300</v>
      </c>
      <c r="C32" s="418">
        <v>6350</v>
      </c>
      <c r="D32" s="418">
        <v>5600</v>
      </c>
      <c r="E32" s="418">
        <v>5630</v>
      </c>
    </row>
    <row r="33" spans="1:5" ht="15">
      <c r="A33" s="850" t="s">
        <v>1040</v>
      </c>
      <c r="B33" s="418">
        <v>8300</v>
      </c>
      <c r="C33" s="418">
        <v>8250</v>
      </c>
      <c r="D33" s="418">
        <v>8260</v>
      </c>
      <c r="E33" s="418">
        <v>8300</v>
      </c>
    </row>
    <row r="34" spans="1:5" ht="15">
      <c r="A34" s="850" t="s">
        <v>1041</v>
      </c>
      <c r="B34" s="418">
        <v>1000</v>
      </c>
      <c r="C34" s="418">
        <v>1000</v>
      </c>
      <c r="D34" s="418">
        <v>1000</v>
      </c>
      <c r="E34" s="418">
        <v>1000</v>
      </c>
    </row>
    <row r="35" spans="1:5" ht="15">
      <c r="A35" s="850" t="s">
        <v>1042</v>
      </c>
      <c r="B35" s="418">
        <v>50</v>
      </c>
      <c r="C35" s="418">
        <v>50</v>
      </c>
      <c r="D35" s="418">
        <v>50</v>
      </c>
      <c r="E35" s="418">
        <v>50</v>
      </c>
    </row>
    <row r="36" spans="1:5" ht="15">
      <c r="A36" s="850" t="s">
        <v>1043</v>
      </c>
      <c r="B36" s="418">
        <v>2500</v>
      </c>
      <c r="C36" s="418">
        <v>2300</v>
      </c>
      <c r="D36" s="418">
        <v>2250</v>
      </c>
      <c r="E36" s="418">
        <v>2260</v>
      </c>
    </row>
    <row r="37" spans="1:5" ht="15">
      <c r="A37" s="850" t="s">
        <v>1044</v>
      </c>
      <c r="B37" s="418">
        <v>1125</v>
      </c>
      <c r="C37" s="418">
        <v>950</v>
      </c>
      <c r="D37" s="418">
        <v>950</v>
      </c>
      <c r="E37" s="418">
        <v>950</v>
      </c>
    </row>
    <row r="38" spans="1:5" ht="15">
      <c r="A38" s="850" t="s">
        <v>1045</v>
      </c>
      <c r="B38" s="418">
        <v>135</v>
      </c>
      <c r="C38" s="418">
        <v>130</v>
      </c>
      <c r="D38" s="418">
        <v>130</v>
      </c>
      <c r="E38" s="418">
        <v>125</v>
      </c>
    </row>
    <row r="39" spans="1:5" ht="15">
      <c r="A39" s="851" t="s">
        <v>747</v>
      </c>
      <c r="B39" s="418">
        <v>1754</v>
      </c>
      <c r="C39" s="418">
        <v>100</v>
      </c>
      <c r="D39" s="418">
        <v>100</v>
      </c>
      <c r="E39" s="418">
        <v>100</v>
      </c>
    </row>
    <row r="40" spans="1:5" ht="15">
      <c r="A40" s="509" t="s">
        <v>1046</v>
      </c>
      <c r="B40" s="418">
        <v>4670</v>
      </c>
      <c r="C40" s="418">
        <v>4670</v>
      </c>
      <c r="D40" s="418">
        <v>4670</v>
      </c>
      <c r="E40" s="418">
        <v>4670</v>
      </c>
    </row>
    <row r="41" spans="1:5" ht="15">
      <c r="A41" s="509" t="s">
        <v>1047</v>
      </c>
      <c r="B41" s="418">
        <v>600</v>
      </c>
      <c r="C41" s="418">
        <v>600</v>
      </c>
      <c r="D41" s="418">
        <v>600</v>
      </c>
      <c r="E41" s="418">
        <v>600</v>
      </c>
    </row>
    <row r="42" spans="1:5" ht="15">
      <c r="A42" s="850" t="s">
        <v>746</v>
      </c>
      <c r="B42" s="418">
        <v>40</v>
      </c>
      <c r="C42" s="418">
        <v>40</v>
      </c>
      <c r="D42" s="418">
        <v>0</v>
      </c>
      <c r="E42" s="418">
        <v>0</v>
      </c>
    </row>
    <row r="43" spans="1:5" ht="15.75" thickBot="1">
      <c r="A43" s="850" t="s">
        <v>1048</v>
      </c>
      <c r="B43" s="418">
        <v>400</v>
      </c>
      <c r="C43" s="418">
        <v>350</v>
      </c>
      <c r="D43" s="418">
        <v>775</v>
      </c>
      <c r="E43" s="418">
        <v>800</v>
      </c>
    </row>
    <row r="44" spans="1:5" ht="16.5" thickBot="1">
      <c r="A44" s="305" t="s">
        <v>420</v>
      </c>
      <c r="B44" s="414">
        <f>B48+B19</f>
        <v>7900</v>
      </c>
      <c r="C44" s="414">
        <v>5660</v>
      </c>
      <c r="D44" s="414">
        <v>5660</v>
      </c>
      <c r="E44" s="414">
        <v>5660</v>
      </c>
    </row>
    <row r="45" ht="12.75">
      <c r="A45" s="352"/>
    </row>
    <row r="46" ht="12.75">
      <c r="A46" s="352"/>
    </row>
    <row r="47" ht="13.5" thickBot="1">
      <c r="A47" s="352"/>
    </row>
    <row r="48" spans="1:5" ht="16.5" thickBot="1">
      <c r="A48" s="305" t="s">
        <v>20</v>
      </c>
      <c r="B48" s="414">
        <f>SUM(B49:B50)</f>
        <v>5848</v>
      </c>
      <c r="C48" s="414">
        <f>SUM(C49:C50)</f>
        <v>3788</v>
      </c>
      <c r="D48" s="414">
        <f>SUM(D49:D50)</f>
        <v>5000</v>
      </c>
      <c r="E48" s="414">
        <f>SUM(E49:E50)</f>
        <v>5000</v>
      </c>
    </row>
    <row r="49" spans="1:5" ht="15">
      <c r="A49" s="236" t="s">
        <v>749</v>
      </c>
      <c r="B49" s="422">
        <v>7100</v>
      </c>
      <c r="C49" s="422">
        <v>5040</v>
      </c>
      <c r="D49" s="422">
        <v>5000</v>
      </c>
      <c r="E49" s="422">
        <v>5000</v>
      </c>
    </row>
    <row r="50" spans="1:5" ht="15.75" thickBot="1">
      <c r="A50" s="237" t="s">
        <v>745</v>
      </c>
      <c r="B50" s="419">
        <v>-1252</v>
      </c>
      <c r="C50" s="419">
        <v>-1252</v>
      </c>
      <c r="D50" s="419">
        <v>0</v>
      </c>
      <c r="E50" s="419">
        <v>0</v>
      </c>
    </row>
    <row r="53" spans="2:5" ht="12.75">
      <c r="B53" s="104"/>
      <c r="C53" s="104"/>
      <c r="D53" s="104"/>
      <c r="E53" s="104"/>
    </row>
  </sheetData>
  <sheetProtection/>
  <printOptions/>
  <pageMargins left="0" right="0" top="0.35433070866141736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mrazova</cp:lastModifiedBy>
  <cp:lastPrinted>2013-09-02T14:07:35Z</cp:lastPrinted>
  <dcterms:created xsi:type="dcterms:W3CDTF">2000-12-30T17:06:54Z</dcterms:created>
  <dcterms:modified xsi:type="dcterms:W3CDTF">2013-11-22T13:21:21Z</dcterms:modified>
  <cp:category/>
  <cp:version/>
  <cp:contentType/>
  <cp:contentStatus/>
  <cp:revision>1</cp:revision>
</cp:coreProperties>
</file>